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activeTab="0"/>
  </bookViews>
  <sheets>
    <sheet name="Hárok1" sheetId="1" r:id="rId1"/>
    <sheet name="Hárok2" sheetId="2" r:id="rId2"/>
    <sheet name="Hárok3" sheetId="3" r:id="rId3"/>
  </sheets>
  <definedNames>
    <definedName name="_xlnm.Print_Area" localSheetId="0">'Hárok1'!$A$1:$Z$1874</definedName>
  </definedNames>
  <calcPr fullCalcOnLoad="1"/>
</workbook>
</file>

<file path=xl/comments1.xml><?xml version="1.0" encoding="utf-8"?>
<comments xmlns="http://schemas.openxmlformats.org/spreadsheetml/2006/main">
  <authors>
    <author>Vojtkov? Ingrid</author>
  </authors>
  <commentList>
    <comment ref="A239" authorId="0">
      <text>
        <r>
          <rPr>
            <b/>
            <sz val="8"/>
            <rFont val="Tahoma"/>
            <family val="0"/>
          </rPr>
          <t>Vojtková Ingrid: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<sst xmlns="http://schemas.openxmlformats.org/spreadsheetml/2006/main" count="2891" uniqueCount="1021">
  <si>
    <t>Staroba (kluby dôchodcov)</t>
  </si>
  <si>
    <t>Bežné výdavky - rozp. organizácia DD-DPD</t>
  </si>
  <si>
    <t>Bežné výdavky - ostatné</t>
  </si>
  <si>
    <t>Mzdy, platy a ostatné osobné vyrovnania</t>
  </si>
  <si>
    <t xml:space="preserve">Poistné a prísp.zamestnávateľa do poisťovní </t>
  </si>
  <si>
    <t>Bežné transfery jednotlivcom a nezis. PO</t>
  </si>
  <si>
    <t>Na dávku sociálnej pomoci</t>
  </si>
  <si>
    <t>- opakované príspevky na stravovanie pre dôchodcov</t>
  </si>
  <si>
    <t>- star. o občanov v dôchodkovom veku (jednorázová dávka)</t>
  </si>
  <si>
    <t>Na dávku sociálnej pomoci (jednorázová dávka)</t>
  </si>
  <si>
    <t>- starostlivosť o rodinu a deti</t>
  </si>
  <si>
    <t>Jednotlivcom</t>
  </si>
  <si>
    <t xml:space="preserve"> - príspevok za opatrovanie trojčiat</t>
  </si>
  <si>
    <t xml:space="preserve"> - sociálnoprávna ochrana detí a sociálna kuratela</t>
  </si>
  <si>
    <t>Ďaľšie sociálne služby - opatrovateľská sl.</t>
  </si>
  <si>
    <t>Prevádzkové stroje, prístroje, zariadenia,..</t>
  </si>
  <si>
    <t>Palivá, mazivá, oleje a špeciálne kvapaliny</t>
  </si>
  <si>
    <t>Servis, údržba, opr. a výdavky s tým spojené</t>
  </si>
  <si>
    <t>Pracovné pomôcky pre opatrovateľov</t>
  </si>
  <si>
    <t>Odmeny na základe dohôd o vykonaní práce</t>
  </si>
  <si>
    <t>opatrovateľská služba</t>
  </si>
  <si>
    <t>Dávky v hmotnej núdzi</t>
  </si>
  <si>
    <t>CELKOVÁ BILANCIA ROZPOČTU V TIS. SK</t>
  </si>
  <si>
    <t>Rok 2004</t>
  </si>
  <si>
    <t>Rok 2005</t>
  </si>
  <si>
    <t>Rok 2006</t>
  </si>
  <si>
    <t>Skutočnosť</t>
  </si>
  <si>
    <t>schv.rozp.</t>
  </si>
  <si>
    <t>IV.úprava</t>
  </si>
  <si>
    <t>skutoč.</t>
  </si>
  <si>
    <t xml:space="preserve">návrh </t>
  </si>
  <si>
    <t>1-6/2005</t>
  </si>
  <si>
    <t>správcu</t>
  </si>
  <si>
    <t>Bežné príjmy</t>
  </si>
  <si>
    <t>Kapitálové príjmy</t>
  </si>
  <si>
    <t>Finančné operácie príjmové</t>
  </si>
  <si>
    <t>Spolu:</t>
  </si>
  <si>
    <t>Bežné výdavky</t>
  </si>
  <si>
    <t>Kapitálové výdavky</t>
  </si>
  <si>
    <t>Finančné operácie výdavkové</t>
  </si>
  <si>
    <t>Rozdiel:</t>
  </si>
  <si>
    <t>v tis. Sk</t>
  </si>
  <si>
    <t>Odd.</t>
  </si>
  <si>
    <t>Položka</t>
  </si>
  <si>
    <t>Názov</t>
  </si>
  <si>
    <t>skutočnosť</t>
  </si>
  <si>
    <t>návrh</t>
  </si>
  <si>
    <t>a</t>
  </si>
  <si>
    <t>b</t>
  </si>
  <si>
    <t>c</t>
  </si>
  <si>
    <t>DAŇOVÉ PRÍJMY</t>
  </si>
  <si>
    <t>Daň z príjmov a kapitál. majetku</t>
  </si>
  <si>
    <t>Daň z príjmov fyzických osôb</t>
  </si>
  <si>
    <t>Dane z majetku</t>
  </si>
  <si>
    <t>Daň z nehnuteľnosti PO</t>
  </si>
  <si>
    <t>Z pozemkov</t>
  </si>
  <si>
    <t>Zo stavieb</t>
  </si>
  <si>
    <t>Z bytov</t>
  </si>
  <si>
    <t>Daň z nehnuteľnosti FO</t>
  </si>
  <si>
    <t>Dane za tovary a služby</t>
  </si>
  <si>
    <t>Dane za špecifické služby</t>
  </si>
  <si>
    <t>Za psa</t>
  </si>
  <si>
    <t>Za nevýherné hracie prístroje (FO a PO)</t>
  </si>
  <si>
    <t>Za predajné automaty</t>
  </si>
  <si>
    <t>Za vjazd a zotrvanie motor. vozidla do hist.častí</t>
  </si>
  <si>
    <t>Za ubytovanie</t>
  </si>
  <si>
    <t xml:space="preserve">Za užívanie verejného priestranstva </t>
  </si>
  <si>
    <t>Za komunálne odpady a drobné staveb.odpady</t>
  </si>
  <si>
    <t>Príspevkovej organizácii</t>
  </si>
  <si>
    <t>Dane z použ. tovarov a z povol. na výkon. činn.</t>
  </si>
  <si>
    <t>Z úhrad za dobývací priestor</t>
  </si>
  <si>
    <t>Iné dane za tovary a služby</t>
  </si>
  <si>
    <t xml:space="preserve"> - z predaja alkoh. nápojov a tabak.výrobkov</t>
  </si>
  <si>
    <t xml:space="preserve"> - z reklamy</t>
  </si>
  <si>
    <t xml:space="preserve"> - zo vstupného</t>
  </si>
  <si>
    <t>NEDAŇOVÉ PRÍJMY</t>
  </si>
  <si>
    <t>Príjmy z podnikania a z vlastníctva majetku</t>
  </si>
  <si>
    <t>Príjmy z podnikania</t>
  </si>
  <si>
    <t>Dividendy</t>
  </si>
  <si>
    <t>Príjmy z vlastníctva</t>
  </si>
  <si>
    <t>Z prenajatých pozemkov</t>
  </si>
  <si>
    <t>- prenájom MsÚ</t>
  </si>
  <si>
    <t>- prenájom TEZAS s.r.o. tretím osobám</t>
  </si>
  <si>
    <t>Z prenajatých budov,priestorov a objektov</t>
  </si>
  <si>
    <t>- prenájom MsÚ (nebytové priestory)</t>
  </si>
  <si>
    <t>- prenájom TEZAS s.r.o.</t>
  </si>
  <si>
    <t>- prenájom hnuteľného majetku spol. PTH, a. s.</t>
  </si>
  <si>
    <t>- prenájom bytov Ciglianska cesta</t>
  </si>
  <si>
    <t>Z prenajatých strojov, prístrojov, zariadení ..</t>
  </si>
  <si>
    <t>- príjmy z prenájmu - iný prenájom</t>
  </si>
  <si>
    <t>- prenájom majetku VO - UNIPA, s.r.o.</t>
  </si>
  <si>
    <t>- prenájom cestného merača rýchlosti</t>
  </si>
  <si>
    <t>IV. úprava</t>
  </si>
  <si>
    <t>Administrat. popl. a iné poplatky a platby</t>
  </si>
  <si>
    <t>Administratívne poplatky</t>
  </si>
  <si>
    <r>
      <t>713</t>
    </r>
    <r>
      <rPr>
        <i/>
        <sz val="10"/>
        <rFont val="Arial CE"/>
        <family val="2"/>
      </rPr>
      <t xml:space="preserve"> - nákup interiérového vybavenia - </t>
    </r>
    <r>
      <rPr>
        <sz val="10"/>
        <rFont val="Arial CE"/>
        <family val="2"/>
      </rPr>
      <t>archívne regálové systémy pre stavebný úrad -čerpanie v II. polroku</t>
    </r>
  </si>
  <si>
    <t>Ostatné - spr popl. za vydané rozhodnutia</t>
  </si>
  <si>
    <t>Ostatné - spr.popl. za vyd.rozhodnutia SÚ</t>
  </si>
  <si>
    <t>Ostatné - správne poplatky - matrika</t>
  </si>
  <si>
    <t>Ostatné - správne poplatky za VP</t>
  </si>
  <si>
    <t>Pokuty, penále a iné sankcie</t>
  </si>
  <si>
    <t>Za porušenie predpisov -  v blok. konaní</t>
  </si>
  <si>
    <t>Za porušenie predpisov - sankčné popl.</t>
  </si>
  <si>
    <t>Za porušenie predpisov - správne delikty</t>
  </si>
  <si>
    <t>Popl. a platby z nepriem.a náhod.predaja sl.</t>
  </si>
  <si>
    <t>Za predaj výrobkov, tovarov a služieb</t>
  </si>
  <si>
    <t xml:space="preserve"> - Za verejnú súťaž</t>
  </si>
  <si>
    <t xml:space="preserve"> - Za rekreačné sl.-prenájom chata V. Lehôtka</t>
  </si>
  <si>
    <t xml:space="preserve"> - Za opatrovateľskú službu</t>
  </si>
  <si>
    <t xml:space="preserve"> - prepravná služba</t>
  </si>
  <si>
    <t xml:space="preserve"> - príjmy vlastné DD-DPD - Okáľa</t>
  </si>
  <si>
    <t>Príjmy zo škôl</t>
  </si>
  <si>
    <t xml:space="preserve"> - materské školy</t>
  </si>
  <si>
    <t xml:space="preserve"> - rozpočtové organizácie</t>
  </si>
  <si>
    <t>Ďaľšie administrat. a iné poplatky a platby</t>
  </si>
  <si>
    <t>Za znečisťovanie ovzdušia</t>
  </si>
  <si>
    <t>Príjem z predaja kapitálových aktív</t>
  </si>
  <si>
    <t>Príjem z predaja pozemkov a nehmot. aktív</t>
  </si>
  <si>
    <t>Úroky z tuz. úver., pôžič.,návrat.fin.výpomoci</t>
  </si>
  <si>
    <t>Z vkladov</t>
  </si>
  <si>
    <t>Z termínovaných vkladov</t>
  </si>
  <si>
    <t>Iné nedaňové príjmy</t>
  </si>
  <si>
    <t>Ostatné príjmy</t>
  </si>
  <si>
    <t>Iné (mylné platby, finančná náhrada,..)</t>
  </si>
  <si>
    <t>Z výťažkov z lotérií a iných podobných hier</t>
  </si>
  <si>
    <t>Z dobropisov</t>
  </si>
  <si>
    <t>Z refundácie</t>
  </si>
  <si>
    <t xml:space="preserve">Vratky </t>
  </si>
  <si>
    <t>GRANTY A TRANSFERY</t>
  </si>
  <si>
    <t>Granty</t>
  </si>
  <si>
    <t>ZO ŠTÁTNEHO ROZPOČTU</t>
  </si>
  <si>
    <t>Na podporu zamestnanosti - VPP</t>
  </si>
  <si>
    <t>Na podporu zamestnanosti -chránené pracovisko</t>
  </si>
  <si>
    <t>Na rozvoj sociálnej sféry - penzión J. Okáľa</t>
  </si>
  <si>
    <t>Deti v hmotnej núdzi</t>
  </si>
  <si>
    <t>Na rozvoj školstva - ZŠ,ŠKD,CVČ,vzdel.poukazy</t>
  </si>
  <si>
    <t>Školský úrad</t>
  </si>
  <si>
    <t>Decentralizačná dotácia na matriky</t>
  </si>
  <si>
    <t>Na decentralizačnú dotáciu na SÚ</t>
  </si>
  <si>
    <t>Na decentr.dotáciu na oblasť ŠFRB</t>
  </si>
  <si>
    <t>v tom:</t>
  </si>
  <si>
    <t>- z predaja kapitálových aktív</t>
  </si>
  <si>
    <t>- z predaja pozemkov a nehmotných aktív</t>
  </si>
  <si>
    <t>- z kapitálových grantov a transferov</t>
  </si>
  <si>
    <t>SPOLU</t>
  </si>
  <si>
    <t>ZO SPLÁC.ÚVEROV A POŽIČIEK A Z</t>
  </si>
  <si>
    <t>PREDAJA MAJETKOVÝCH ÚČASTÍ</t>
  </si>
  <si>
    <t>Zostatok prostriedkov z predch.rokov</t>
  </si>
  <si>
    <t xml:space="preserve"> Prevod z prostriedkov z peňažných fondov</t>
  </si>
  <si>
    <t xml:space="preserve"> - prevod z fondu rozvoja bývania</t>
  </si>
  <si>
    <t xml:space="preserve"> - prevod z rezervného fondu</t>
  </si>
  <si>
    <t xml:space="preserve"> - prevod z fondu rozvoja mesta </t>
  </si>
  <si>
    <t>PRIJATÉ ÚVERY</t>
  </si>
  <si>
    <t>Dlhodobé bankové úvery</t>
  </si>
  <si>
    <t xml:space="preserve"> </t>
  </si>
  <si>
    <t>R o k</t>
  </si>
  <si>
    <t>2 0 0 5</t>
  </si>
  <si>
    <t>odd.</t>
  </si>
  <si>
    <t xml:space="preserve">         N Á Z O V</t>
  </si>
  <si>
    <t>01.1.1.6</t>
  </si>
  <si>
    <t>Obce</t>
  </si>
  <si>
    <t>01.1.2</t>
  </si>
  <si>
    <t>Finančná a rozpočtová oblasť</t>
  </si>
  <si>
    <t>01.3.3</t>
  </si>
  <si>
    <t>Iné všeobecné služby - matričná činnosť</t>
  </si>
  <si>
    <t>01.6.0</t>
  </si>
  <si>
    <t>Všeobecné verej.služby inde neklasifikované</t>
  </si>
  <si>
    <t>01.7.0</t>
  </si>
  <si>
    <t>Transakcie verejného dlhu</t>
  </si>
  <si>
    <t>03.1.0</t>
  </si>
  <si>
    <t>Policajné služby</t>
  </si>
  <si>
    <t>03.2.0</t>
  </si>
  <si>
    <t>Ochrana pred požiarmi</t>
  </si>
  <si>
    <t>04.1.2</t>
  </si>
  <si>
    <t>Všeobecná pracovná oblasť</t>
  </si>
  <si>
    <t>04.4.3</t>
  </si>
  <si>
    <t>Výstavba</t>
  </si>
  <si>
    <t>Výstavba - stavebný úrad</t>
  </si>
  <si>
    <t>04.5.1</t>
  </si>
  <si>
    <t>Cestná doprava</t>
  </si>
  <si>
    <t>04.7.3</t>
  </si>
  <si>
    <t>Cestovný ruch</t>
  </si>
  <si>
    <t>05.1.0</t>
  </si>
  <si>
    <t>Nakladanie s odpadmi</t>
  </si>
  <si>
    <t>06.1.0</t>
  </si>
  <si>
    <t>Rozvoj bývania</t>
  </si>
  <si>
    <t>06.4.0</t>
  </si>
  <si>
    <t>Verejné osvetlenie</t>
  </si>
  <si>
    <t>08.1.0</t>
  </si>
  <si>
    <t>Rekreačné a športové služby</t>
  </si>
  <si>
    <t>08.2.0.3</t>
  </si>
  <si>
    <t>Klubové a špeciálne kultúrne zariadenia</t>
  </si>
  <si>
    <t>08.2.0.7</t>
  </si>
  <si>
    <t>Pamiatková starostlivosť</t>
  </si>
  <si>
    <t>08.2.0.9</t>
  </si>
  <si>
    <t>Ostatné kultúrne služby</t>
  </si>
  <si>
    <t>08.3.0</t>
  </si>
  <si>
    <t>Vysielacie a vydavateľské služby</t>
  </si>
  <si>
    <t>08.4.0</t>
  </si>
  <si>
    <t>Náboženské a iné spoločenské služby</t>
  </si>
  <si>
    <t>09</t>
  </si>
  <si>
    <t>Vzdelávanie (09.1.1, 09.1.2, ..)</t>
  </si>
  <si>
    <t>09.4.1</t>
  </si>
  <si>
    <t>Prvý stupeň vysokoškolského vzdelávania</t>
  </si>
  <si>
    <t>09.5.0</t>
  </si>
  <si>
    <t>Vzdelávanie nedefinovateľné podľa úrovne</t>
  </si>
  <si>
    <t>10.1.2</t>
  </si>
  <si>
    <t>Invalidita a ťažké zdravotné postihnutie</t>
  </si>
  <si>
    <t>10.1.2.3</t>
  </si>
  <si>
    <t>Ďaľšie sociálne služby - invalidita a ťažké zdravotné postihnutie</t>
  </si>
  <si>
    <t>10.2.0</t>
  </si>
  <si>
    <t>Staroba</t>
  </si>
  <si>
    <t>10.2.0.2</t>
  </si>
  <si>
    <t>Ďaľšie sociálne služby - staroba</t>
  </si>
  <si>
    <t>10.4.0</t>
  </si>
  <si>
    <t>Rodina a deti</t>
  </si>
  <si>
    <t>10.4.0.3</t>
  </si>
  <si>
    <t>Ďaľšie sociálne služby - rodina a deti</t>
  </si>
  <si>
    <t>Ďaľšie sociálne služby - administratívno-správna činnosť</t>
  </si>
  <si>
    <t>10.7.0.1</t>
  </si>
  <si>
    <t>Dávky soc.pomoci-pomoc obč.v hmot.a soc.núdzi</t>
  </si>
  <si>
    <t>10.7.0.2</t>
  </si>
  <si>
    <t>Zar.sociál.služieb-pomoc obč. v hmot.a soc.núdzi</t>
  </si>
  <si>
    <t>FINANČNÉ OPERÁCIE VÝDAVKOVÉ</t>
  </si>
  <si>
    <t>01.7.0.</t>
  </si>
  <si>
    <t>03.1.0.</t>
  </si>
  <si>
    <t>S P O L U:</t>
  </si>
  <si>
    <t>01 - VŠEOBECNÉ VEREJNÉ SLUŽBY</t>
  </si>
  <si>
    <t>Výdavky spolu</t>
  </si>
  <si>
    <t>Mzdy, platy, služ.príjmy a ostat.osobné vyrovnania</t>
  </si>
  <si>
    <t>Poistné a príspevok do poisťovní</t>
  </si>
  <si>
    <t>Cestovné náhrady</t>
  </si>
  <si>
    <t>Tuzemské</t>
  </si>
  <si>
    <t>Zahraničné</t>
  </si>
  <si>
    <t>Energie, voda a komunikácie</t>
  </si>
  <si>
    <t>Energie</t>
  </si>
  <si>
    <t xml:space="preserve"> - elektrická energia</t>
  </si>
  <si>
    <t xml:space="preserve"> - plyn</t>
  </si>
  <si>
    <t xml:space="preserve"> - tepelná energia</t>
  </si>
  <si>
    <t>Vodné, stočné</t>
  </si>
  <si>
    <t>Poštové a telekomunikačné služby</t>
  </si>
  <si>
    <t xml:space="preserve"> - telefón, fax</t>
  </si>
  <si>
    <t xml:space="preserve"> - rozhlas, televízia</t>
  </si>
  <si>
    <t xml:space="preserve"> - poštové služby</t>
  </si>
  <si>
    <t xml:space="preserve"> - dátové spojovacie siete - Internet</t>
  </si>
  <si>
    <t>Materiál</t>
  </si>
  <si>
    <t>Výpočtová technika</t>
  </si>
  <si>
    <t>Telekomunikačná technika</t>
  </si>
  <si>
    <t>Prevádzkové stroje, prístroje, zar.,technika a náradie</t>
  </si>
  <si>
    <t>Interiérové vybavenie</t>
  </si>
  <si>
    <t xml:space="preserve">Všeobecný materiál </t>
  </si>
  <si>
    <t>-  prezentačné suveníry s emblémom mesta</t>
  </si>
  <si>
    <t>I.-VII.</t>
  </si>
  <si>
    <t>-  potreby súvisiace s výpočtovou technikou</t>
  </si>
  <si>
    <t>-  kancelárske potreby pre mesto</t>
  </si>
  <si>
    <t xml:space="preserve">- materiál, náhradné diely na údržbu úradu </t>
  </si>
  <si>
    <t xml:space="preserve"> - papier</t>
  </si>
  <si>
    <t xml:space="preserve"> - čistiace, hygienické a dezinfekčné potreby</t>
  </si>
  <si>
    <t xml:space="preserve"> - tlačivá</t>
  </si>
  <si>
    <t xml:space="preserve"> - lieky</t>
  </si>
  <si>
    <t xml:space="preserve"> - uličné tabule a tabule na označenie domov</t>
  </si>
  <si>
    <t>- vecné a finančné dary pre vyznamenaných</t>
  </si>
  <si>
    <t>Knihy, časopisy, noviny</t>
  </si>
  <si>
    <t>Pracovné odevy, obuv a pracovné pomôcky</t>
  </si>
  <si>
    <t>Potraviny - výdavky na občerstvenie MsZ, MsR</t>
  </si>
  <si>
    <t>Softvér a licencie</t>
  </si>
  <si>
    <t xml:space="preserve">Reprezentačné </t>
  </si>
  <si>
    <t>- partnerské vzťahy</t>
  </si>
  <si>
    <t>- reprezentačné výdavky</t>
  </si>
  <si>
    <t>Dopravné</t>
  </si>
  <si>
    <t>Palivo, mazivá, oleje, špeciálne kvapaliny</t>
  </si>
  <si>
    <t xml:space="preserve"> - benzín</t>
  </si>
  <si>
    <t xml:space="preserve"> - mazivá, oleje, špeciálne kvapaliny</t>
  </si>
  <si>
    <t>Servis, údržba, opravy a výdavky s tým spojené</t>
  </si>
  <si>
    <t>Zákonné poistenie</t>
  </si>
  <si>
    <t>Havarijné poistenie</t>
  </si>
  <si>
    <t xml:space="preserve">Prepravné a nájom dopr. prostriedkov </t>
  </si>
  <si>
    <t>Rutinná a štandardná údržba</t>
  </si>
  <si>
    <t>Interiérového vybavenia</t>
  </si>
  <si>
    <t>Výpočtovej techniky</t>
  </si>
  <si>
    <t>Prevádzkových strojov, prístrojov, zariadení, ..</t>
  </si>
  <si>
    <t>Telekomunikačnej techniky</t>
  </si>
  <si>
    <t>Budov, objektov alebo ich častí</t>
  </si>
  <si>
    <t>Operatívna potreba mesta (VVO)</t>
  </si>
  <si>
    <t>Nájomné za nájom</t>
  </si>
  <si>
    <t>Budov,  objektov alebo ich častí</t>
  </si>
  <si>
    <t>Prevádzkových strojov, prístrojov, zariadení,..</t>
  </si>
  <si>
    <t xml:space="preserve">Dopravných prostriedkov - leasing.splátka na automobil </t>
  </si>
  <si>
    <t>Služby</t>
  </si>
  <si>
    <t>Školenia, kurzy, semináre</t>
  </si>
  <si>
    <t>Propagácia, reklama a inzercia</t>
  </si>
  <si>
    <t>Všeobecné služby</t>
  </si>
  <si>
    <t xml:space="preserve"> - revízie a kontroly zariadení</t>
  </si>
  <si>
    <t xml:space="preserve"> - upratovanie, čistenie, pranie (vrátane deratizácie)</t>
  </si>
  <si>
    <t xml:space="preserve"> - práce nevýrobnej povahy (rozmnož.,plánograf.,viazanie)</t>
  </si>
  <si>
    <t xml:space="preserve"> - renovácia tonerov, cartridgeov a pások</t>
  </si>
  <si>
    <t>Skutočn.</t>
  </si>
  <si>
    <t>I.-III.</t>
  </si>
  <si>
    <r>
      <t>propagácia, reklama, inzercia</t>
    </r>
    <r>
      <rPr>
        <sz val="10"/>
        <rFont val="Arial CE"/>
        <family val="0"/>
      </rPr>
      <t xml:space="preserve"> - položka bude šetrená aj v II. polroku</t>
    </r>
  </si>
  <si>
    <r>
      <t xml:space="preserve">verejné súťaže - podklady- </t>
    </r>
    <r>
      <rPr>
        <sz val="10"/>
        <rFont val="Arial CE"/>
        <family val="2"/>
      </rPr>
      <t>nízke čerpanie finančných prostriedkov na rozmnožovanie projektov pre potreby uchádzačov</t>
    </r>
    <r>
      <rPr>
        <i/>
        <sz val="10"/>
        <rFont val="Arial CE"/>
        <family val="2"/>
      </rPr>
      <t xml:space="preserve"> </t>
    </r>
  </si>
  <si>
    <t>verejných suťaží, do konca roka predpoklad šetrenia</t>
  </si>
  <si>
    <t>ZDROJE  ROZPOČTU CELKOM</t>
  </si>
  <si>
    <t>VÝDAVKY   ROZPOČTU  CELKOM</t>
  </si>
  <si>
    <r>
      <t xml:space="preserve">geometrické plány - majetkové oddelenie - </t>
    </r>
    <r>
      <rPr>
        <sz val="10"/>
        <rFont val="Arial CE"/>
        <family val="2"/>
      </rPr>
      <t>vyššie čerpanie súvisí so zvýšeným množstvom odpredaných pozemkov, pričom</t>
    </r>
  </si>
  <si>
    <r>
      <t>meranie a monitorovanie hlučnosti</t>
    </r>
    <r>
      <rPr>
        <sz val="10"/>
        <rFont val="Arial CE"/>
        <family val="0"/>
      </rPr>
      <t xml:space="preserve"> - predpoklad čerpania v II. polroku</t>
    </r>
  </si>
  <si>
    <t>mesta, uličné tabule a tabule na označenie domov, vecné a finančné dary pre vyznamenaných). Nedočerpané budú</t>
  </si>
  <si>
    <t xml:space="preserve">pravdepodobne kancelárske potreby pre mesto, materiál náhradné diely na údržbu úradu, papier, ktoré sa budú riešiť  </t>
  </si>
  <si>
    <t>koncom roka rozpočtovými presunmi medzi jednotlivými podpoložkami</t>
  </si>
  <si>
    <t>sa neuskutoční</t>
  </si>
  <si>
    <r>
      <t>reprezentačné</t>
    </r>
    <r>
      <rPr>
        <sz val="10"/>
        <rFont val="Arial CE"/>
        <family val="0"/>
      </rPr>
      <t xml:space="preserve"> - podpoložka bude čiastočne šetrená, plánovaná družobná návšteva zamestnancov v Ibbenburene</t>
    </r>
  </si>
  <si>
    <r>
      <t>633 Materiál</t>
    </r>
    <r>
      <rPr>
        <sz val="10"/>
        <rFont val="Arial CE"/>
        <family val="0"/>
      </rPr>
      <t xml:space="preserve"> a </t>
    </r>
    <r>
      <rPr>
        <b/>
        <sz val="10"/>
        <rFont val="Arial CE"/>
        <family val="2"/>
      </rPr>
      <t xml:space="preserve">635 Rutinná a štandardná údržba  </t>
    </r>
    <r>
      <rPr>
        <sz val="10"/>
        <rFont val="Arial CE"/>
        <family val="0"/>
      </rPr>
      <t>- ďalšie čerpanie výdavkov v II. polroku, je predpoklad čiastočného</t>
    </r>
  </si>
  <si>
    <t>šetrenia</t>
  </si>
  <si>
    <t>Všetky položky rozpočtového oddielu boli čerpané v súlade so vzniknutou potrebou a budú ďalej dočerpávané v II. polroku.</t>
  </si>
  <si>
    <r>
      <t xml:space="preserve">Nízke čerpanie </t>
    </r>
    <r>
      <rPr>
        <i/>
        <sz val="10"/>
        <rFont val="Arial CE"/>
        <family val="2"/>
      </rPr>
      <t xml:space="preserve">prevádzky IVVS (mestského rozhlasu) - </t>
    </r>
    <r>
      <rPr>
        <sz val="10"/>
        <rFont val="Arial CE"/>
        <family val="2"/>
      </rPr>
      <t xml:space="preserve">zmluva podpísaná, realizácia plánovaná v II. polroku </t>
    </r>
  </si>
  <si>
    <t>dianí v meste.</t>
  </si>
  <si>
    <r>
      <t>Priame prenosy</t>
    </r>
    <r>
      <rPr>
        <sz val="10"/>
        <rFont val="Arial CE"/>
        <family val="2"/>
      </rPr>
      <t xml:space="preserve"> - odvysielaných bolo 26 televíznych relácií v periodicite raz týždenne, kde prebehli informácie o aktuálnom</t>
    </r>
  </si>
  <si>
    <r>
      <t>nákup špeciálnych strojov  a zariadení</t>
    </r>
    <r>
      <rPr>
        <sz val="10"/>
        <rFont val="Arial CE"/>
        <family val="2"/>
      </rPr>
      <t xml:space="preserve"> - realizácia informačného výstražného a varovného systému mesta bude v II. polroku</t>
    </r>
  </si>
  <si>
    <r>
      <t xml:space="preserve">Z rozpočtového oddielu boli financované výdavky </t>
    </r>
    <r>
      <rPr>
        <i/>
        <sz val="10"/>
        <rFont val="Arial CE"/>
        <family val="2"/>
      </rPr>
      <t>neziskovým organizáciám - koncepcia ochrany a podpory detí a mládeže,</t>
    </r>
  </si>
  <si>
    <t>mladý parlament a príspevky charitatívnym združeniam a organizáciám.</t>
  </si>
  <si>
    <t xml:space="preserve">V plnej rozpočtovej výške boli poskytnuté transfery pre Rímskokatolícku farnosť v Prievidzi vo výške 1 000 tis. Sk na obnovu </t>
  </si>
  <si>
    <t>fasády Farského kostola sv. Bartolomeja a transfer pre Rehoľu piaristov vo výške 1 000 tis. Sk na obnovu fasády Rímsko-</t>
  </si>
  <si>
    <t>katolíckeho kostola Najs. Trojice a Nanebovz. P. Márie v Prievidzi.</t>
  </si>
  <si>
    <t>Ďalšie čerpanie rozpočtových výdavkov v II. polroku.</t>
  </si>
  <si>
    <t>univerzity budú čerpané v II. polroku.</t>
  </si>
  <si>
    <t>Príspevky pre školstvo a vzdelávanie prerozdelené komisiou kultúry a vzdelávania  - ďalšie plnenie v II. polroku</t>
  </si>
  <si>
    <t>Komentár k plneniu oddielu je spracovaný v samostatnej prílohe č. 4</t>
  </si>
  <si>
    <t>invalidnom dôchodku za účelom nákupu ošatenia, na liečebné náklady a pri úmrtí v rodine.</t>
  </si>
  <si>
    <t>Ďalšie čerpanie bude v II. polroku.</t>
  </si>
  <si>
    <r>
      <t xml:space="preserve">Jednorázová dávka sociálnej pomoci - </t>
    </r>
    <r>
      <rPr>
        <sz val="10"/>
        <rFont val="Arial CE"/>
        <family val="2"/>
      </rPr>
      <t>vyplatená pre 123 osamelo žijúcich občanov za účelom preklenutia finančnej</t>
    </r>
  </si>
  <si>
    <r>
      <t xml:space="preserve">tiesne, na liečebné náklady a na ošatenie. </t>
    </r>
    <r>
      <rPr>
        <i/>
        <sz val="10"/>
        <rFont val="Arial CE"/>
        <family val="2"/>
      </rPr>
      <t xml:space="preserve">Sociálna pôžička - </t>
    </r>
    <r>
      <rPr>
        <sz val="10"/>
        <rFont val="Arial CE"/>
        <family val="2"/>
      </rPr>
      <t>v I. polroku nebola podaná žiadosť o jej poskytnutie.</t>
    </r>
  </si>
  <si>
    <t>Nízke čerpanie rozpočtového oddielu bolo spôsobené tým, že transfery pre SMM, s.r.o., určené na úhradu 90% z ročných</t>
  </si>
  <si>
    <t>nákladov spojených s prevádzkou a užívaním jednotlivých objektov, neboli v I. polroku čerpané. Transfery budú poukázané</t>
  </si>
  <si>
    <t xml:space="preserve">v II. polroku. </t>
  </si>
  <si>
    <t>Z oddielu boli za I. polrok na náklady mesta pochovaní 3 bezdomovci a zakúpené oblečenie a hygienické potreby pre občana</t>
  </si>
  <si>
    <t>nášho mesta, ktorý bol prednostne prijatý do DD. Od januára bol vzhľadom na veľké mrazy postavený za obchodným do-</t>
  </si>
  <si>
    <t xml:space="preserve">mom TESCO vyhrievaný stan pre bezdomovcov, zabezpečovala sa im strava, hygienické a dezinfekčné príspevky. </t>
  </si>
  <si>
    <r>
      <t>poistné</t>
    </r>
    <r>
      <rPr>
        <sz val="10"/>
        <rFont val="Arial CE"/>
        <family val="0"/>
      </rPr>
      <t xml:space="preserve"> - vysoké plnenie rozpočtu z dôvodu platenia poistného za majetok v správe SMMP, s.r.o., ktoré je mesto povinné </t>
    </r>
  </si>
  <si>
    <t>platiť v zmysle Zmluvy o výkone správy. Položka bude upravená úpravou rozpočtu</t>
  </si>
  <si>
    <t>Tarifný plat, osobný,základný...</t>
  </si>
  <si>
    <t>Príplatky</t>
  </si>
  <si>
    <t>Odmeny</t>
  </si>
  <si>
    <t>Poistné do Všeobecnej zdravotnej poisťovne</t>
  </si>
  <si>
    <t>Poistné do Spoločnej zdravotnej poisťovne</t>
  </si>
  <si>
    <t>Poistné do ostatných zdravotných poisťovní</t>
  </si>
  <si>
    <t>Poistné do Sociálnej poisťovne</t>
  </si>
  <si>
    <t>Na nemocenské poistenie</t>
  </si>
  <si>
    <t>Na starobné poistenie</t>
  </si>
  <si>
    <t>Na úrazové poistenie</t>
  </si>
  <si>
    <t>Na invalidné poistenie</t>
  </si>
  <si>
    <t>Na poistenie v nezamestnanosti</t>
  </si>
  <si>
    <t>Na poistenie do rezerného fondu solidarity</t>
  </si>
  <si>
    <t>operatívna potreba mesta VVO č. 1</t>
  </si>
  <si>
    <t>operatívna potreba mesta VVO č. 2</t>
  </si>
  <si>
    <t>operatívna potreba mesta VVO č. 3</t>
  </si>
  <si>
    <t>operatívna potreba mesta VVO č. 4</t>
  </si>
  <si>
    <t>operatívna potreba mesta VVO č. 5</t>
  </si>
  <si>
    <t xml:space="preserve"> - sprac.projektov zameraných na získ.prostr. zo štrukt.fondov</t>
  </si>
  <si>
    <t xml:space="preserve"> - verejné súťaže - podklady</t>
  </si>
  <si>
    <t xml:space="preserve">Špeciálne služby </t>
  </si>
  <si>
    <t xml:space="preserve"> - geometrické plány - majetkové oddelenie</t>
  </si>
  <si>
    <t xml:space="preserve"> - meranie a monitorovanie (meranie hlučnosti)</t>
  </si>
  <si>
    <t xml:space="preserve"> - advokátske, komerčné a iné právne služby</t>
  </si>
  <si>
    <t xml:space="preserve"> - služby daňového poradenstva</t>
  </si>
  <si>
    <t xml:space="preserve"> - za poradensko-konzultačnú činnosť </t>
  </si>
  <si>
    <t xml:space="preserve"> - zmluvné služby</t>
  </si>
  <si>
    <t>Štúdie, expertízy, posudky - majetkové oddelenie</t>
  </si>
  <si>
    <t>Štúdie, expertízy, posudky - právne oddelenie</t>
  </si>
  <si>
    <t>Štúdie, expertízy, posudky - laboratórne vzorky</t>
  </si>
  <si>
    <t>Poplatky a odvody - poplatky banke</t>
  </si>
  <si>
    <t>Poplatky a odvody - výdavky na úhradu daní</t>
  </si>
  <si>
    <t>Poplatky a odvody - správne,súdne a notárske popl.</t>
  </si>
  <si>
    <t>Poplatky a odvody  - exekučné</t>
  </si>
  <si>
    <t>Naturálne mzdy (prísp. a ošatenie a úpravu zovňajšku)</t>
  </si>
  <si>
    <t>Stravovanie</t>
  </si>
  <si>
    <t>Poistné</t>
  </si>
  <si>
    <t>Prídel do sociálneho fondu</t>
  </si>
  <si>
    <t>Vrátenie príjmov z minulých rokov</t>
  </si>
  <si>
    <t>Odmeny a príspevky - odmeny poslancom obec. zastup.</t>
  </si>
  <si>
    <t>Odmeny zamestnancov mimopracovného pomeru</t>
  </si>
  <si>
    <t>Pokuty a penále</t>
  </si>
  <si>
    <t>Transfery jednotlivcom a neziskovým PO</t>
  </si>
  <si>
    <t>Na členské príspevky (ZMOS, Asociácie)</t>
  </si>
  <si>
    <t>Na nemocenské dávky</t>
  </si>
  <si>
    <t>Nákup pozemkov a nehmotných aktív</t>
  </si>
  <si>
    <t>Softvéru</t>
  </si>
  <si>
    <t>Nákup strojov, prístrojov, zariadení, techniky, ...</t>
  </si>
  <si>
    <t>Špeciálnych strojov, prístrojov, zariadení,...</t>
  </si>
  <si>
    <t>Nákup dopravných prostriedkov všetkých druhov</t>
  </si>
  <si>
    <t>Osobných automobilov</t>
  </si>
  <si>
    <t>Výdavky z transakcií s fin.aktívami a pasívami</t>
  </si>
  <si>
    <t>Účasť na majetku</t>
  </si>
  <si>
    <t>Splácanie finančného prenájmu - kopírka</t>
  </si>
  <si>
    <t>materiálna ochrana objektov</t>
  </si>
  <si>
    <t>revízie a kontroly zariadení</t>
  </si>
  <si>
    <t>Na poistenie do rezervného fondu solidarity</t>
  </si>
  <si>
    <t>R o k  2005</t>
  </si>
  <si>
    <t>Splác.úrokov a ostatné platby súvisiace s úvermi</t>
  </si>
  <si>
    <t>Banke a pobočke zahraničnej banke</t>
  </si>
  <si>
    <t xml:space="preserve"> - úroky - plaváreň k III. ZŠ S.Chalupku</t>
  </si>
  <si>
    <t xml:space="preserve"> - úroky - Soc. bývanie, Cigl. cesta-D-blok+OSP</t>
  </si>
  <si>
    <t xml:space="preserve"> - úroky  - výkup zazmluvnených pozemkov - úver r. 2006</t>
  </si>
  <si>
    <t xml:space="preserve"> - úroky - pavlačové byty</t>
  </si>
  <si>
    <t>FINANČNÉ OPERÁCIE VÝDAVKOVÉ:</t>
  </si>
  <si>
    <t>Výdavky z transakcií s fin.aktívami a fin.pasívami</t>
  </si>
  <si>
    <t>Splácanie tuzemskej istiny</t>
  </si>
  <si>
    <t>Z bankových úverov dlhodobých</t>
  </si>
  <si>
    <t>- splátka istiny na Sociálne bývanie, Cigl. cesta č. 2-173 b. j.</t>
  </si>
  <si>
    <t xml:space="preserve"> - splátka istiny - plaváreň k III. ZŠ S.Chalupku</t>
  </si>
  <si>
    <t>- splátka istiny na Soc.bývanie, Cigl.cesta -D-blok+OSP</t>
  </si>
  <si>
    <t xml:space="preserve"> - splátka istiny pavlačové byty</t>
  </si>
  <si>
    <t>Špeciálne služby - audítori</t>
  </si>
  <si>
    <t>Mzdy, platy, služobné príjmy a os. osobné vyrovnania</t>
  </si>
  <si>
    <t xml:space="preserve">Poistné a príspevok do poisťovní </t>
  </si>
  <si>
    <t xml:space="preserve">Energie  </t>
  </si>
  <si>
    <t xml:space="preserve">Poštové a telekomunikačné služby </t>
  </si>
  <si>
    <t>Všeobecný materiál - kancelárske potreby a materiál</t>
  </si>
  <si>
    <t>Tlačivá</t>
  </si>
  <si>
    <t>Naturálne mzdy (ošatné)</t>
  </si>
  <si>
    <t>Nemocenské dávky</t>
  </si>
  <si>
    <t>Na členské príspevky</t>
  </si>
  <si>
    <t>03 - VEREJNÝ PORIADOK A BEZPEČNOSŤ</t>
  </si>
  <si>
    <t>R o k   2005</t>
  </si>
  <si>
    <t>Policajné služby (MsP)</t>
  </si>
  <si>
    <t>Mzdy, platy, služob. príjmy a ost. osobné vyrovnania</t>
  </si>
  <si>
    <t>Poistné a prísp.zamestnávateľa do poisťovní</t>
  </si>
  <si>
    <t xml:space="preserve"> - plyn a od r. 2004 tepelná energia</t>
  </si>
  <si>
    <t xml:space="preserve"> - energie - chránené pracovisko</t>
  </si>
  <si>
    <t>- telefón, fax a rádiostanice</t>
  </si>
  <si>
    <t>- chránené pracovisko</t>
  </si>
  <si>
    <t>- rozhlas a televízia</t>
  </si>
  <si>
    <t xml:space="preserve">Interiérové vybavenie </t>
  </si>
  <si>
    <t>Prevádzkové stroje, prístroje, zariadenia a technika</t>
  </si>
  <si>
    <t>Špeciálne stroje, prístroje, zar. , technika a náradie</t>
  </si>
  <si>
    <t>Všeobecný materiál</t>
  </si>
  <si>
    <t>Špeciálny materiál - výzbroj a technika</t>
  </si>
  <si>
    <t>Knihy, časopisy, noviny, ...</t>
  </si>
  <si>
    <t>Potraviny</t>
  </si>
  <si>
    <t>Reprezentačné</t>
  </si>
  <si>
    <r>
      <t>Servis,údržba,opravy a výd. s tým spojené</t>
    </r>
    <r>
      <rPr>
        <sz val="9"/>
        <rFont val="Arial CE"/>
        <family val="2"/>
      </rPr>
      <t xml:space="preserve"> </t>
    </r>
  </si>
  <si>
    <t>Poistenie</t>
  </si>
  <si>
    <t>Prevádzk.strojov, prístrojov, zar., techniky a náradia</t>
  </si>
  <si>
    <t>Špec.strojov,prístrojov,zariadení,techniky a náradia</t>
  </si>
  <si>
    <t>Pracovných odevov, obuvi a pracovných pomôcok</t>
  </si>
  <si>
    <t>- oprava výstroja, výzbroje, inej techniky</t>
  </si>
  <si>
    <t>Prevádzkových strojov, prístrojov, ...</t>
  </si>
  <si>
    <t>Špec.strojov, prístrojov, zariadení,..</t>
  </si>
  <si>
    <t>Dopravných prostriedkov</t>
  </si>
  <si>
    <t>Školenia, kurzy, semináre, porady</t>
  </si>
  <si>
    <t xml:space="preserve">Konkurzy a súťaže </t>
  </si>
  <si>
    <t>Špeciálne služby - revízie a kontroly zariadení</t>
  </si>
  <si>
    <t>Štúdie, expertízy, posudky (objasňovanie priestupkov a i.)</t>
  </si>
  <si>
    <t>Poplatky a odvody</t>
  </si>
  <si>
    <t>Transfery jednotlivcom a nezisk.právn.osobám</t>
  </si>
  <si>
    <t>Komisia ochrany verejného poriadku</t>
  </si>
  <si>
    <t xml:space="preserve"> Softvéru</t>
  </si>
  <si>
    <t>Nákup strojov,prístrojov, zar., techniky a náradia</t>
  </si>
  <si>
    <t>Špeciálnych strojov, prístrojov, zariadení, ...</t>
  </si>
  <si>
    <t>Realiz.stavieb a ich technického zhodnotenia</t>
  </si>
  <si>
    <t>Výdavky z trans. s fin. aktívami a pasívami</t>
  </si>
  <si>
    <t>Splácanie istín</t>
  </si>
  <si>
    <t>Splácanie finančného prenájmu</t>
  </si>
  <si>
    <t xml:space="preserve">Materiál </t>
  </si>
  <si>
    <t>Špeciálny materiál - has.prístroje, tabuľky PO</t>
  </si>
  <si>
    <t>Pracovné odevy, obuv a prac.pomôcky (výstroj pre DPZ)</t>
  </si>
  <si>
    <t>Palivo, mazivá, oleje, špec. kvapaliny (DPZ)</t>
  </si>
  <si>
    <t>Servis,údržba,opravy a výd.s tým spojené (DPZ)</t>
  </si>
  <si>
    <t>Poistenie hasiacich vozidiel</t>
  </si>
  <si>
    <t>Budov, objektov al. ich častí - požiarnych zbrojníc</t>
  </si>
  <si>
    <t>Prevádzk.strojov,prístrojov,zariadení,...- HP a hydrantov</t>
  </si>
  <si>
    <t>Konkurzy a súťaže - súťaže</t>
  </si>
  <si>
    <t xml:space="preserve">Všeobecné služby </t>
  </si>
  <si>
    <t xml:space="preserve"> - sťahovanie a manipul. práce - úprava skladov CO</t>
  </si>
  <si>
    <t>Špec. služby - za plnenie úloh požiarnej ochrany</t>
  </si>
  <si>
    <t>04 - EKONOMICKÁ OBLASŤ</t>
  </si>
  <si>
    <t>Mzdy, platy, služ.príjmy a ostat.osob.vyrovnania (VPP)</t>
  </si>
  <si>
    <t>Poistné a prísp.zamestnávat. do poisťovní (VPP)</t>
  </si>
  <si>
    <t>Materiál  (VPP)</t>
  </si>
  <si>
    <t>Prevádzkové stroje, prístroje, zariadenia,technika a náradie</t>
  </si>
  <si>
    <t xml:space="preserve"> - pracovné náradie, vrecia</t>
  </si>
  <si>
    <t>Pracovné odevy, obuv a prac. pomôcky</t>
  </si>
  <si>
    <t>Služby (VPP)</t>
  </si>
  <si>
    <t>Transfery jednotlivcom a nezisk. PO</t>
  </si>
  <si>
    <t>Údržba budov, objektov alebo ich častí</t>
  </si>
  <si>
    <t>Všeobecné služby (podklady pre činnosť v ÚP)</t>
  </si>
  <si>
    <t xml:space="preserve"> - fotografické a reprodukčné práce, zmena územ.plánu</t>
  </si>
  <si>
    <t>Špeciálne služby</t>
  </si>
  <si>
    <t xml:space="preserve"> - Geometrický plán -  reštitúcie (právne oddelenie)</t>
  </si>
  <si>
    <t xml:space="preserve">                                   - odd. výstavby </t>
  </si>
  <si>
    <t>Pozemkov - majetkoprávne vyporiadanie</t>
  </si>
  <si>
    <t>- vyporiadania pod mestské stavby</t>
  </si>
  <si>
    <t xml:space="preserve"> - vyporiadanie cintorína v novej lokalite - Podbanskou</t>
  </si>
  <si>
    <t xml:space="preserve"> - vyporiadanie pozemkov - rozšírenie cintorína vo V. Lehôtke</t>
  </si>
  <si>
    <t xml:space="preserve"> - vyporiadanie pozemkov - rozšírenie cintorína v Prievidzi</t>
  </si>
  <si>
    <t xml:space="preserve"> - vyporiadanie pozemkov - školy a školské zariadenia</t>
  </si>
  <si>
    <t xml:space="preserve"> - pozemky pod priemyselný park (záväzok z r. 2005)</t>
  </si>
  <si>
    <t xml:space="preserve"> - pozemky pod priemyselný park - zazmluvnené pozemky</t>
  </si>
  <si>
    <t>Prípravná a projektová dokumentácia</t>
  </si>
  <si>
    <t xml:space="preserve"> - Projekty k žiadostiam o získanie prostr. z EÚ</t>
  </si>
  <si>
    <t xml:space="preserve"> - Priemyselný park Prievidza-Západ</t>
  </si>
  <si>
    <t xml:space="preserve"> - Zriadenie DD, príp.denného stacionára Ul. Rázusa, Chalupku</t>
  </si>
  <si>
    <t xml:space="preserve"> - Stavebné úpravy  ZŠ Ul. Dobšinského  v Prievidzi</t>
  </si>
  <si>
    <t xml:space="preserve"> - Zriadenie DD, príp.denného stacionára Ul. Rázusa</t>
  </si>
  <si>
    <t xml:space="preserve"> - Eskalátory+dobudov.obch.priestor.v podchode pre peších</t>
  </si>
  <si>
    <t xml:space="preserve"> - Stavebné úpravy ZŠ Ul. Dobšinského v Prievidzi</t>
  </si>
  <si>
    <t>Mzdy, platy, služob. príjmy a ostat. osobné vyrovnania</t>
  </si>
  <si>
    <t>Poistné a príspevky zamestnávateľa do poisťovní</t>
  </si>
  <si>
    <t>Tovary a služby</t>
  </si>
  <si>
    <t>Cestovné</t>
  </si>
  <si>
    <t>Knihy, noviny, časopisy,...</t>
  </si>
  <si>
    <t xml:space="preserve">Transfery jednotlivcom a neziskovým PO </t>
  </si>
  <si>
    <t>Budov, objektov al. ich častí (cesty, diaľnice a chodníky)</t>
  </si>
  <si>
    <t>Špeciálne služby - geometrický plán</t>
  </si>
  <si>
    <t>- pre právne oddelenie</t>
  </si>
  <si>
    <t>- pre oddelenie výstavby</t>
  </si>
  <si>
    <t>Transfery nefinančným subjektom a transfery prísp.org.</t>
  </si>
  <si>
    <t>Právnickej osobe - SAD</t>
  </si>
  <si>
    <t>Nákup pozemkov - majetkoprávne vyporiadanie</t>
  </si>
  <si>
    <t>Križovatka I/64 a III/05062 - vyvolané investície</t>
  </si>
  <si>
    <t>Podchod pre peších pri Šafráne</t>
  </si>
  <si>
    <t>Dopravný uzol A. Hlinku - Košovská cesta</t>
  </si>
  <si>
    <t>Vybudovanie park.miest v meste -  Nábr. sv. Cyrila</t>
  </si>
  <si>
    <t xml:space="preserve"> - Križovatka I/64 a III/05062 - Prievidza - MK</t>
  </si>
  <si>
    <t xml:space="preserve"> - Vybudovanie park.miest v meste - Nábr. sv. Cyrila </t>
  </si>
  <si>
    <t xml:space="preserve"> - Budovanie chodníkov</t>
  </si>
  <si>
    <t xml:space="preserve"> - Podchod pre peších pri OD Šafrán</t>
  </si>
  <si>
    <t xml:space="preserve"> - Dopr.uzol križovatka Ul.A.Hlinku,Košovská cesta</t>
  </si>
  <si>
    <t>Transfery nefinančným subjektom...</t>
  </si>
  <si>
    <t>- banícky jarmok (Prievidzský jarmok)</t>
  </si>
  <si>
    <t>- mestské dni</t>
  </si>
  <si>
    <t>- predvianočné trhy</t>
  </si>
  <si>
    <t>- veľkonočné trhy</t>
  </si>
  <si>
    <t>- dni k pamiatke zosnulých</t>
  </si>
  <si>
    <t>Všeobecný materiál (propagačná činnosť)</t>
  </si>
  <si>
    <t>Nájomné za nájom budov, objektov alebo ich častí</t>
  </si>
  <si>
    <t>Nájomné za nájom prevádzk.strojov, prístrojov, zar.,..</t>
  </si>
  <si>
    <t xml:space="preserve"> - výroba propagačného materiálu mesta</t>
  </si>
  <si>
    <t xml:space="preserve"> - Zlatá prievidzská cesta</t>
  </si>
  <si>
    <t>- dni dychovej hudby (Prievidzské hody)</t>
  </si>
  <si>
    <t xml:space="preserve">Na členské príspevky </t>
  </si>
  <si>
    <t>- príspevok pre Regionálne združenie ochrany spotrebiteľa</t>
  </si>
  <si>
    <t>- príspevok pre Združenie pre rozvoj regiónu Hornej Nitry</t>
  </si>
  <si>
    <t>- príspevok pre Združenie CR Hornej Nitry</t>
  </si>
  <si>
    <t>Transfery nefinančným subjektom ...</t>
  </si>
  <si>
    <t>PO založenej obcou-na prevádzku TIKu v zmysle MZ</t>
  </si>
  <si>
    <t>Nákup strojov,prístrojov,zariadení,techniky ...</t>
  </si>
  <si>
    <t>Prevádzkových strojov, prístrojov,...</t>
  </si>
  <si>
    <t>05 - OCHRANA ŽIVOTNÉHO PROSTREDIA</t>
  </si>
  <si>
    <t xml:space="preserve"> - čistenie verejných priestranstiev</t>
  </si>
  <si>
    <t xml:space="preserve"> - separovaný zber</t>
  </si>
  <si>
    <t xml:space="preserve"> - čistenie verejných priestranstiev cez aktivačné práce</t>
  </si>
  <si>
    <t xml:space="preserve"> - za služby za uloženie a likvidáciu odpadu</t>
  </si>
  <si>
    <t xml:space="preserve"> - recyklačný fond</t>
  </si>
  <si>
    <t>Komisia ŽP</t>
  </si>
  <si>
    <t>Všeobecné verej.sl. inde neklasifikované</t>
  </si>
  <si>
    <t>Verejnej zelene</t>
  </si>
  <si>
    <t>Údržba a prevádzka výbehov</t>
  </si>
  <si>
    <t>- komisionárska odplata TEZAS s.r.o. (za správu MK a MZ)</t>
  </si>
  <si>
    <t xml:space="preserve"> - nákup známok pre evidenciu psov</t>
  </si>
  <si>
    <t xml:space="preserve"> - prevádzka útulku psov a mačiek</t>
  </si>
  <si>
    <t>06 - BÝVANIE A OBČIANSKA VYBAVENOSŤ</t>
  </si>
  <si>
    <t>Rok 2003</t>
  </si>
  <si>
    <t>Realizácia nových stavieb</t>
  </si>
  <si>
    <t>Soc.bývanie Cig.cesta č. 2 - 173 b.j. - dobudovanie MK</t>
  </si>
  <si>
    <t xml:space="preserve"> PO - UNIPA s. r. o .- transfer na elektrickú energiu</t>
  </si>
  <si>
    <t xml:space="preserve"> - transfer na prevádzku VO</t>
  </si>
  <si>
    <t>Právnickej osobe zriadenej obcou, ..</t>
  </si>
  <si>
    <t>Osvetlenie kultúrnych pamiatok mesta</t>
  </si>
  <si>
    <t>Osvetlenie chodníka v rekreač.pešej zóne pri rieke Nitra</t>
  </si>
  <si>
    <t>08 - REKREÁCIA, KULTÚRA A NÁBOŽENSTVO</t>
  </si>
  <si>
    <t>Energia, voda a komunikácie</t>
  </si>
  <si>
    <t>Energie - elektrická energia</t>
  </si>
  <si>
    <t>Budov, objektov alebo ich častí- ľadová plocha</t>
  </si>
  <si>
    <t>Všeob. služby (revízie a kontroly zariadení)</t>
  </si>
  <si>
    <t xml:space="preserve">Na prevádzku ZŠ </t>
  </si>
  <si>
    <t>Na prevádzku FŠ</t>
  </si>
  <si>
    <t>Ost. bežné transfery - Športová hala</t>
  </si>
  <si>
    <t xml:space="preserve">Ost.bežné transf. - TJ VPS Prievidza-Hradec </t>
  </si>
  <si>
    <t>Nezisk.org.,ktoré poskytujú všeobecnoprospeš.služby</t>
  </si>
  <si>
    <t>UNIPE za prevádzku plavárne</t>
  </si>
  <si>
    <t>Klubové a špeciálne kultúrne zar. - KaSS</t>
  </si>
  <si>
    <t>Transfery v rámci sektora verejnej správy</t>
  </si>
  <si>
    <t>Príspevkovým organizáciám</t>
  </si>
  <si>
    <t>- dotácia na prevádzku KaSS</t>
  </si>
  <si>
    <t>- na prevádzku pobočiek mests. knižnice</t>
  </si>
  <si>
    <t>Bežné transfery jednotlivcom a nezisk. PO</t>
  </si>
  <si>
    <t>- propagácia mesta v publikáciách a na informač.nosičoch</t>
  </si>
  <si>
    <t xml:space="preserve"> - kvety, vence</t>
  </si>
  <si>
    <t xml:space="preserve">Reprezentačné výdavky </t>
  </si>
  <si>
    <t>Konkurzy a súťaže -výdavky na novoročný ohňostroj</t>
  </si>
  <si>
    <t>Všeobecné služby - diapozitívy mesta,fotoslužby</t>
  </si>
  <si>
    <t>Odmeny zamestnancom mimopracovného pomeru</t>
  </si>
  <si>
    <t xml:space="preserve">- odmena kronikárovi za kroniku mesta </t>
  </si>
  <si>
    <t>Nezisk.org.,ktoré poskytujú prevažne verejnoprosp.sl.</t>
  </si>
  <si>
    <t>- kultúrne telesá a umelecké aktivity</t>
  </si>
  <si>
    <t>Jednotlivcom (nar. prvý občan v novom roku)</t>
  </si>
  <si>
    <t xml:space="preserve"> - Priame prenosy, vysielanie a výroba telev.relácií</t>
  </si>
  <si>
    <t xml:space="preserve"> - Kontaktná televízna relácia "Primátor na ulici"</t>
  </si>
  <si>
    <t xml:space="preserve"> - Výroba  a vysielanie rozhlasových relácií</t>
  </si>
  <si>
    <t xml:space="preserve"> - Finančné výdavky na výrobu Prieboja</t>
  </si>
  <si>
    <t xml:space="preserve"> - Prevádzka IVVS (mestského rozhlasu)</t>
  </si>
  <si>
    <t xml:space="preserve"> - Informačné materiály mesta</t>
  </si>
  <si>
    <t xml:space="preserve"> - tlmočnícka a prekladateľská činnosť</t>
  </si>
  <si>
    <t xml:space="preserve"> - Realizácia a správa internetovej prezentácie mesta</t>
  </si>
  <si>
    <t>Nákup strojov, prístrojov, zariadení,...</t>
  </si>
  <si>
    <r>
      <t>632 Energie, voda,komunikácie</t>
    </r>
    <r>
      <rPr>
        <sz val="10"/>
        <rFont val="Arial CE"/>
        <family val="0"/>
      </rPr>
      <t xml:space="preserve"> - položka bude upravená úpravou rozpočtu</t>
    </r>
  </si>
  <si>
    <r>
      <t>635 Rutinná a štandardná údržba</t>
    </r>
    <r>
      <rPr>
        <sz val="10"/>
        <rFont val="Arial CE"/>
        <family val="0"/>
      </rPr>
      <t xml:space="preserve"> - komentár k plneniu v samostatnej prílohe č. 3</t>
    </r>
  </si>
  <si>
    <t xml:space="preserve">uvedenou cestou odpredať, preto boli s nimi uzatvorené nájomné zmluvy </t>
  </si>
  <si>
    <r>
      <t>636 Nájomné za nájom</t>
    </r>
    <r>
      <rPr>
        <sz val="10"/>
        <rFont val="Arial CE"/>
        <family val="0"/>
      </rPr>
      <t xml:space="preserve"> - súvisí s investičnou akciou Oprava cesty "Púšť" -  niektorí vlastníci nie sú ochotní pozemky pod  </t>
    </r>
  </si>
  <si>
    <r>
      <t>700 Kapitálové výdavky</t>
    </r>
    <r>
      <rPr>
        <sz val="10"/>
        <rFont val="Arial CE"/>
        <family val="0"/>
      </rPr>
      <t xml:space="preserve"> - komentár je spracovaný v samostatnej prílohe č. 1</t>
    </r>
  </si>
  <si>
    <t>Komentár k vecnému plnenie je spracovaný v samostatnej prílohe č. 3</t>
  </si>
  <si>
    <t>Komentár k vecnému plneniu je spracovaný v samostatnej prílohe č. 3</t>
  </si>
  <si>
    <r>
      <t>630 - Tovary a služby</t>
    </r>
    <r>
      <rPr>
        <sz val="10"/>
        <rFont val="Arial CE"/>
        <family val="0"/>
      </rPr>
      <t xml:space="preserve"> - finančné prostriedky na pokrytie nákladov na prevádzku objektov v správe SMM s.r.o. určených</t>
    </r>
  </si>
  <si>
    <t>na predaj boli čerpané do výšky nimi požadovanej potreby</t>
  </si>
  <si>
    <r>
      <t>700 Kapitálové výdavky</t>
    </r>
    <r>
      <rPr>
        <sz val="10"/>
        <rFont val="Arial CE"/>
        <family val="0"/>
      </rPr>
      <t xml:space="preserve"> - Komentár k plneniu oddielu je spracovaný v samostatnej prílohe č. 1</t>
    </r>
  </si>
  <si>
    <r>
      <t>revízie a kontroly zariadení</t>
    </r>
    <r>
      <rPr>
        <sz val="10"/>
        <rFont val="Arial CE"/>
        <family val="0"/>
      </rPr>
      <t xml:space="preserve"> - výdavky za vykonané revízie v zmysle príslušných predpisov - ďalšie čerpanie v II. polroku</t>
    </r>
  </si>
  <si>
    <t>Výdavky v položkách 632 ,633, 635 súvisia s prevádzkovaním chaty vo V. Lehôtke.</t>
  </si>
  <si>
    <r>
      <t>632 Elektrická energia</t>
    </r>
    <r>
      <rPr>
        <sz val="10"/>
        <rFont val="Arial CE"/>
        <family val="0"/>
      </rPr>
      <t xml:space="preserve"> - spotreba el. energie - polročné splátky a vyúčtovanie podľa skutočnosti</t>
    </r>
  </si>
  <si>
    <r>
      <t>640 Transfery</t>
    </r>
    <r>
      <rPr>
        <sz val="10"/>
        <rFont val="Arial CE"/>
        <family val="0"/>
      </rPr>
      <t xml:space="preserve"> - výdavky budú dočerpané v II. polroku</t>
    </r>
  </si>
  <si>
    <t>Výdavok predstavuje výšku transferu, ktorým mesto dotuje prevádzku KaSS. Komentár k plneniu oddielu je spracovaný</t>
  </si>
  <si>
    <t>v samostatnom materiáli predkladanom KaSS.</t>
  </si>
  <si>
    <t xml:space="preserve">Rozpočtové výdavky vo výške 861 tis. Sk boli za obdobie I. polroka čerpané vo výške 55,5%. Z oddielu sa financujú výdavky </t>
  </si>
  <si>
    <t>na mzdy a odvody pre účinkujúcich na obradoch, výdavky na obradovú činnosť mesta (svadby, uvítanie detí do života...),</t>
  </si>
  <si>
    <t>ktorých čerpanie súvisí s množstvom realizovaných akcií.</t>
  </si>
  <si>
    <r>
      <t xml:space="preserve">642 Transfery jednotlivcom - </t>
    </r>
    <r>
      <rPr>
        <sz val="10"/>
        <rFont val="Arial CE"/>
        <family val="2"/>
      </rPr>
      <t>ďalšie čerpanie bude v II. polroku v súlade s výškou prerozdelených finančných prostriedkov.</t>
    </r>
  </si>
  <si>
    <t>Z rozpočtového oddielu sa financujú výdavky súvisiace s výrobou a vysielaním televíznych relácií, výrobou Prieboja, prevádz-</t>
  </si>
  <si>
    <t>kou mestského rozhlasu, ktoré boli za obdobie I. polroka čerpané do výšky 28,8%.</t>
  </si>
  <si>
    <t xml:space="preserve">Cirkvám, náboženským spoloč. a cirkevnej charite </t>
  </si>
  <si>
    <t>Nezisk.organizácii poskyt. všeobecne prospeš.služby</t>
  </si>
  <si>
    <t xml:space="preserve"> - Koncepcia ochrany a podpory detí a mládeže </t>
  </si>
  <si>
    <t>Občianskym združeniam, nadáciám</t>
  </si>
  <si>
    <t>09 - VZDELÁVANIE</t>
  </si>
  <si>
    <t>Nezisk.org.poskytujúcej všeobecne prospešné služby</t>
  </si>
  <si>
    <t>Nezisková organizácia V.B.Nedožerského</t>
  </si>
  <si>
    <t>Verejnej VŠ - prísp. pre FR a inf. Žilinskej univerzity</t>
  </si>
  <si>
    <t>Všeobecný materiál - balíčky pre prváčikov</t>
  </si>
  <si>
    <t>Nezisk.organiz. poskyt.všeobecne prosp.služby</t>
  </si>
  <si>
    <t>- komisia školstva</t>
  </si>
  <si>
    <t>- Memoriál Surového</t>
  </si>
  <si>
    <t>- Olympijský oheň</t>
  </si>
  <si>
    <t xml:space="preserve">Vzdelávanie </t>
  </si>
  <si>
    <t>09.1.1.1</t>
  </si>
  <si>
    <t>Predškolská výchova s bežnou starostlivosťou</t>
  </si>
  <si>
    <t>Štúdie, expertízy, posudky</t>
  </si>
  <si>
    <t>Výdavky súvisiace s vybavením žiadostí na poskyt.dot.</t>
  </si>
  <si>
    <t>Poplatky banke</t>
  </si>
  <si>
    <t>Rozpočet</t>
  </si>
  <si>
    <t>Príspevok do doplnkových dôchodkových poisťovní</t>
  </si>
  <si>
    <t>09.1.2.1</t>
  </si>
  <si>
    <t>Základné vzdelanie s bežnou starostlivosťou</t>
  </si>
  <si>
    <t>09.5.0.1</t>
  </si>
  <si>
    <t>Zariadenia pre záujmové vzdelávanie</t>
  </si>
  <si>
    <t>Transfer na rozvoj futbalu</t>
  </si>
  <si>
    <t>Transfer na rozvoj hokeja</t>
  </si>
  <si>
    <t>2) PLNENIE ROZPOČTOVÝCH ZDROJOV - tabuľka s údajmi o plnení za obdobie I. polroka 2006</t>
  </si>
  <si>
    <t>PRÍJMY  CELKOM</t>
  </si>
  <si>
    <t xml:space="preserve">        - bežné príjmy</t>
  </si>
  <si>
    <t xml:space="preserve">        - kapitálové príjmy</t>
  </si>
  <si>
    <t>ROZPIS  KAPITÁLOVÝCH  PRÍJMOV</t>
  </si>
  <si>
    <t xml:space="preserve">v tom: </t>
  </si>
  <si>
    <t>VÝDAVKY</t>
  </si>
  <si>
    <t xml:space="preserve">             - bežné výdavky</t>
  </si>
  <si>
    <t xml:space="preserve">  </t>
  </si>
  <si>
    <t xml:space="preserve">             - kapitálové výdavky</t>
  </si>
  <si>
    <t>ROZPIS  KAPITÁLOVÝCH  VÝDAVKOV</t>
  </si>
  <si>
    <t>Všeobecné verejné služby inde nekvalifikované</t>
  </si>
  <si>
    <t>01.6.0.</t>
  </si>
  <si>
    <t xml:space="preserve">04.5.1 </t>
  </si>
  <si>
    <t xml:space="preserve">04.7.3 </t>
  </si>
  <si>
    <t>Športové a kultúrne služby</t>
  </si>
  <si>
    <t xml:space="preserve">10.2.0 </t>
  </si>
  <si>
    <t>09.</t>
  </si>
  <si>
    <t xml:space="preserve">10.7.0.2 </t>
  </si>
  <si>
    <t>ROZPIS FINANČNÝCH OPERÁCIÍ VÝDAVKOVÝCH</t>
  </si>
  <si>
    <t>FINANČNÉ OPERÁCIE  VÝDAVKOVÉ</t>
  </si>
  <si>
    <t>ROZPIS  FINANČNÝCH  OPERÁCIÍ  PRÍJMOVÝCH</t>
  </si>
  <si>
    <t>FINANČNÉ  OPERÁCIE  PRÍJMOVÉ</t>
  </si>
  <si>
    <t xml:space="preserve">Ostatné rozpočtové položky šetrené  - čerpanie v súlade s potrebami SÚ a ŠFRB  </t>
  </si>
  <si>
    <t>ROZPIS  BEŽNÝCH  VÝDAVKOV</t>
  </si>
  <si>
    <t>3) ČERPANIE  VÝDAVKOV - tabuľka s údajmi o čerpaní za obdobie I. polroka 2006</t>
  </si>
  <si>
    <t>Na nemocenské poisťovne</t>
  </si>
  <si>
    <t>Príspevok do doplnkových dôchodkových poistovní</t>
  </si>
  <si>
    <t>%plnenia</t>
  </si>
  <si>
    <t>% plnenie</t>
  </si>
  <si>
    <t>% plnenia</t>
  </si>
  <si>
    <t xml:space="preserve">%plnenia </t>
  </si>
  <si>
    <t>BEŽNÉ  VÝDAVKY  SPOLU</t>
  </si>
  <si>
    <t>REKAPITULÁCIA  ČERPANIA  KAPITÁLOVÝCH  VÝDAVKOV</t>
  </si>
  <si>
    <t>REKAPITULÁCIA  ČERPANIA  FINANČNÝCH  OPERÁCIÍ</t>
  </si>
  <si>
    <t>Výdavky stavebný úrad</t>
  </si>
  <si>
    <t xml:space="preserve">Kapitálové výdavky </t>
  </si>
  <si>
    <t>- prenájom bytov D blok</t>
  </si>
  <si>
    <t>Dotácia na prenesený výkon št.správy život.prostr.</t>
  </si>
  <si>
    <t>Dotácia na úseku pozemných komunikácií</t>
  </si>
  <si>
    <t>Na rozvoj školstva - ZŠ Dobšinského</t>
  </si>
  <si>
    <t>Kapitálové granty</t>
  </si>
  <si>
    <t>Dočerpanie úveru z roku 2005</t>
  </si>
  <si>
    <t xml:space="preserve"> - projektové práce - sociálne zariadenia v MsD</t>
  </si>
  <si>
    <t>Projekty k žiadostiam o získanie prostriedkov z EÚ</t>
  </si>
  <si>
    <t xml:space="preserve">Vyporiadanie súdneho sporu so spol. VYSTA nova, s.r.o.  </t>
  </si>
  <si>
    <t>- ostatné vyporiadania - právne odd.</t>
  </si>
  <si>
    <t>Podchod pre peších - údržba výťahov</t>
  </si>
  <si>
    <t>V I. polroku neboli čerpané finančné prostriedky na údržbu kultúrnych pamiatok.</t>
  </si>
  <si>
    <t>Ďalšie finančné prostriedky pre neziskovú organizáciu V.B.Nedožerského a pre fakultu riadenia a informatiky Žilinskej</t>
  </si>
  <si>
    <t>Komentár o činnosti športovísk je spracovaný v samostatnom materiáli č. 51/06 predkladanom spol. UNIPA, s.r.o.</t>
  </si>
  <si>
    <t>Komentár k plneniu je spracovaný v samostatnom materiáli č. 51/06 predkladanom spol. UNIPA, s.r.o.</t>
  </si>
  <si>
    <t xml:space="preserve">06.4.0 </t>
  </si>
  <si>
    <t xml:space="preserve">08.1.0 </t>
  </si>
  <si>
    <t xml:space="preserve">08.3.0 </t>
  </si>
  <si>
    <t xml:space="preserve">08.4.0 </t>
  </si>
  <si>
    <t xml:space="preserve">09. </t>
  </si>
  <si>
    <t>Vzdelávanie</t>
  </si>
  <si>
    <t xml:space="preserve">10.7.0.2. </t>
  </si>
  <si>
    <t>Zariadenia sociálnych služieb</t>
  </si>
  <si>
    <t>Rozpočtové výdavky vo výške 15 857 tis. Sk boli za obdobie I. polroka čerpané vo výške 7 650 tis. Sk. Transfer neziskovej</t>
  </si>
  <si>
    <t>organizácii DD-DPD, ktorý poskytujú prevažne sociálne služby, bol čerpaný vo výške 7 325 tis. Sk (49,4%).</t>
  </si>
  <si>
    <t>Komentár je spracovaný v samostatnom materiáli.</t>
  </si>
  <si>
    <t>Výdavky na krytie prevádzkových nákladov zariadení KD boli čerpané priebežne v súlade s požiadavkami jednotlivých KD.</t>
  </si>
  <si>
    <r>
      <t xml:space="preserve">642026 dávka sociálnej pomoci - </t>
    </r>
    <r>
      <rPr>
        <sz val="10"/>
        <rFont val="Arial CE"/>
        <family val="2"/>
      </rPr>
      <t>finančné prostriedky boli použité pre 20 dôchodcov za účelom nákupu ošatenia, na liečeb-</t>
    </r>
  </si>
  <si>
    <t>né náklady a pri úmrtí v rodine</t>
  </si>
  <si>
    <r>
      <t xml:space="preserve">642026 dávka sociálnej pomoci - </t>
    </r>
    <r>
      <rPr>
        <sz val="10"/>
        <rFont val="Arial CE"/>
        <family val="2"/>
      </rPr>
      <t>vyplatená pre 85 rodín s deťmi na preklenutie finančnej tiesne, na ošatenie, na školské</t>
    </r>
  </si>
  <si>
    <t>pomôcky, liečebné náklady...</t>
  </si>
  <si>
    <r>
      <t>642014 - transfer jednotlivcom - n</t>
    </r>
    <r>
      <rPr>
        <sz val="10"/>
        <rFont val="Arial CE"/>
        <family val="2"/>
      </rPr>
      <t>ebola podaná žiadna žiadosť o jej poskytnutie</t>
    </r>
  </si>
  <si>
    <t>Finančné prostriedky spojené s financovaním miezd opatrovateliek,odvodov, tovarov a služieb boli zabezpečované z výnosu</t>
  </si>
  <si>
    <t>DzP FO, ktorý nahradil okrem iného aj príjem z dotácie na opatrovateľskú službu (dotácia na presunuté kompetencie).</t>
  </si>
  <si>
    <t>Čerpanie výdavkov v súlade s rozpočtom.</t>
  </si>
  <si>
    <t>Nefinančnej právnickej osobe- BIC s.r.o.</t>
  </si>
  <si>
    <t>Rekonštrukcia a modernizácie</t>
  </si>
  <si>
    <t xml:space="preserve"> - budov</t>
  </si>
  <si>
    <t>Úvery, pôžičky a návrat.finanč.výpom.jednotl.a nezisk.PO</t>
  </si>
  <si>
    <t>úvery,pôžičk.a návrat.finanč.výpomoci nezisk.PO</t>
  </si>
  <si>
    <t>Manipulačné poplatky súvisiace s úverom</t>
  </si>
  <si>
    <t xml:space="preserve"> - poplatok za jednorázové splatenie úveru</t>
  </si>
  <si>
    <t xml:space="preserve"> - splátka úveru Tatra banke</t>
  </si>
  <si>
    <t>Bežné transfery jednotlivcom</t>
  </si>
  <si>
    <t xml:space="preserve"> - zhotovenie reklamnej tabule</t>
  </si>
  <si>
    <t>Projekty k žiadostiam  o získanie prostriedkov z EÚ</t>
  </si>
  <si>
    <t xml:space="preserve"> - vyporiadanie v k.ú. Hradec - existujúci cintorín</t>
  </si>
  <si>
    <t xml:space="preserve"> - výkup "Skelet", stavby a pozemky na ul. Rázusa</t>
  </si>
  <si>
    <t xml:space="preserve"> - Aktualizácia územného plánu mesta Prievidza</t>
  </si>
  <si>
    <t xml:space="preserve"> - Plán hospodárskeho a sociálneho rozvoja mesta  Prievidza</t>
  </si>
  <si>
    <t xml:space="preserve"> - Eskalátory a dobudov.obchod.priest. v podchode pre peších</t>
  </si>
  <si>
    <t xml:space="preserve"> - Strelnica v Hradci pre MsP</t>
  </si>
  <si>
    <t xml:space="preserve"> - Technická a dopr.infraštr.k priem.parku</t>
  </si>
  <si>
    <t xml:space="preserve"> - Rekon.a moder.kanal.potrubia-Zmluva o združení so StVaK</t>
  </si>
  <si>
    <t>1.Výdavky spolu za ŠFRB</t>
  </si>
  <si>
    <t>Vodné,stočné</t>
  </si>
  <si>
    <t>Telefóny</t>
  </si>
  <si>
    <t>Poštové služby</t>
  </si>
  <si>
    <t>Knihy, noviny, časopisy</t>
  </si>
  <si>
    <t xml:space="preserve">Vodné, stočné </t>
  </si>
  <si>
    <t>I.-IV.</t>
  </si>
  <si>
    <t>Odmeny zamestnancov mimopracov.pomeru</t>
  </si>
  <si>
    <t>Oprava lávky pre peších pri Športovej hale</t>
  </si>
  <si>
    <t>Vyporiadanie v k.ú. Hradec-existujúca komunik. Pavlovská ul.</t>
  </si>
  <si>
    <t>Parkovacie plochy podľa požiadaviek mesta</t>
  </si>
  <si>
    <t>Zastávka autobusu za cintorínom Ul. K. Novackého</t>
  </si>
  <si>
    <t xml:space="preserve"> - Rekonštrukcia cesty "Púšť"</t>
  </si>
  <si>
    <t xml:space="preserve"> - Parkovacie plochy podľa požiadaviek mesta</t>
  </si>
  <si>
    <t xml:space="preserve"> - Zastávka autobusu za cintorínom Ul. K. Novackého</t>
  </si>
  <si>
    <t xml:space="preserve"> - Rekonštrukcia a modernizácia miestnych komunikácií</t>
  </si>
  <si>
    <t>Všeobecný materiál - protišmykové rohože</t>
  </si>
  <si>
    <t>v tom: zarybnenie</t>
  </si>
  <si>
    <t>Lavičky za motivačnú suťaž pre MŠ</t>
  </si>
  <si>
    <t xml:space="preserve">Nákup prevádzk. strojov, prístr.,zariadení, techniky a náradia </t>
  </si>
  <si>
    <t>Lavičky pre VVO</t>
  </si>
  <si>
    <t>Bytový objekt Staré Necpaly Gazdovská ul.</t>
  </si>
  <si>
    <t>Terénne úpravy k D-bloku-likvidácia drevostavby</t>
  </si>
  <si>
    <t>Sociálne bývanie Ciglianska cesta blok D-dokončenie objektu</t>
  </si>
  <si>
    <t>Zmluvné služby SMM s.r.o.</t>
  </si>
  <si>
    <t>Predĺženie siete VO na Ul. Na Karasiny</t>
  </si>
  <si>
    <t>Predĺženie siete VO Sadová ulica</t>
  </si>
  <si>
    <t>Vybudovanie nového VO na Ul. Na stráňach</t>
  </si>
  <si>
    <t>Rekonštrukcia skorodovaných stĺpov VO po dobe životnosti</t>
  </si>
  <si>
    <t>Na verejné osvetlenie - lokalita pri ČOV</t>
  </si>
  <si>
    <t>- športovci, telovýchovné jednoty, športové kluby - Komisia športu</t>
  </si>
  <si>
    <t>- mestský plavecký klub</t>
  </si>
  <si>
    <t>Nákup, budov, objektov, alebo ich častí</t>
  </si>
  <si>
    <t>Odkúpenie vybudovaných investícií na Plážovom kúpalisku</t>
  </si>
  <si>
    <t>Modernizácia núdzového osvetlenia ZŠ</t>
  </si>
  <si>
    <t>Monitoring úniku čpavku ZŠ</t>
  </si>
  <si>
    <t>Rekonštrukcia vstupných priestorov, chodby, šatní ZŠ</t>
  </si>
  <si>
    <t>Rekonštrucia kúrenia FŠ</t>
  </si>
  <si>
    <t>Rekonštrucia prestrešenia tribúny FŠ</t>
  </si>
  <si>
    <t xml:space="preserve"> - Informačné centrum mladých</t>
  </si>
  <si>
    <t xml:space="preserve"> - Mladý parlament</t>
  </si>
  <si>
    <t xml:space="preserve"> - charitat.organiz.,združ.so starostl.o zdravot.postihnutých</t>
  </si>
  <si>
    <t>Mzdy</t>
  </si>
  <si>
    <t>Odvody do PF</t>
  </si>
  <si>
    <t>Nákup strojov</t>
  </si>
  <si>
    <t>Bežné transfery-odchodné a odstupné</t>
  </si>
  <si>
    <t>Projekty</t>
  </si>
  <si>
    <t>Mzdy(ŠKD pri PS)</t>
  </si>
  <si>
    <t>Odvody do PF (ŠKD pri PS)</t>
  </si>
  <si>
    <t>Bežné transfery(ŠKD pri PS)</t>
  </si>
  <si>
    <t>Mzdy (ZUŠ L.Stančeka)</t>
  </si>
  <si>
    <t>Odvody do PF(ZUŠ L. Stančeka)</t>
  </si>
  <si>
    <t>Bežné transfery (ZUŠ Stančeka)</t>
  </si>
  <si>
    <t xml:space="preserve">Mzdy </t>
  </si>
  <si>
    <t>Mzdy (ŠSZ pri MŠ)</t>
  </si>
  <si>
    <t>Odvody do PF (ŠSZ pri MŠ)</t>
  </si>
  <si>
    <t>Bežné transfery (ŠSZ pri MŠ)</t>
  </si>
  <si>
    <t>Mzdy (ŠSZ pri ZŠ)</t>
  </si>
  <si>
    <t>Tovary a služby (ŠSZ pri ZŠ)</t>
  </si>
  <si>
    <t xml:space="preserve"> Bežné transfery (ŠSZ pri ZŠ)</t>
  </si>
  <si>
    <t>Stavebné úpravy</t>
  </si>
  <si>
    <t>Mzdy (ŠSZČ)</t>
  </si>
  <si>
    <t>Odvod do PF (ŠSZČ)</t>
  </si>
  <si>
    <t>Tovary a služby (ŠSZČ)</t>
  </si>
  <si>
    <t>Tovary a služby(inde nedefinované)</t>
  </si>
  <si>
    <t xml:space="preserve"> - Sociálno-integračné centrum</t>
  </si>
  <si>
    <t>Ostatný</t>
  </si>
  <si>
    <t>Prepravné a nájom dopravných prostriedkov</t>
  </si>
  <si>
    <t>Z rozpočtového oddielu bolo za obdobie I. polroka prefinancovaných 377 tis. Sk. Financované boli výdavky spojené s orga-</t>
  </si>
  <si>
    <t>nizovaním mestských dní a veľkonočných trhov. Čerpanie výdavkov ostatných jarmokov organizovaných mestom (Prievidz-</t>
  </si>
  <si>
    <t>ský jarmok, dni k pamiatke zosnulých a predvianočné trhy) bude v II. polroku.</t>
  </si>
  <si>
    <t xml:space="preserve">v dňoch 26. - 29. 1. 2006. V spolupráci s Regionálnym združením CR Horná Nitra sa mesto prezentovalo aj na výstavách, </t>
  </si>
  <si>
    <t>veľtrhoch a kontraktačno-výstavných trhoch, ktoré sa konali v Brne, Kodani, Prahe, Kyjeve, Utrechte, Paríži, Budapešti,</t>
  </si>
  <si>
    <r>
      <t>Kontraktačné výstavy a trhy</t>
    </r>
    <r>
      <rPr>
        <sz val="10"/>
        <rFont val="Arial CE"/>
        <family val="0"/>
      </rPr>
      <t xml:space="preserve"> - mesto sa ako spoluvystavovateľ zúčastnilo na 12. ročníku výstavy Slovakiatour Bratislava</t>
    </r>
  </si>
  <si>
    <t>Stuttgarte, Bruseli a Rige. Zástupcovia mesta Prievidza aktívne vystúpili aj na regionálnej konferencii cestovného ruchu</t>
  </si>
  <si>
    <t>v Prievidzi, ktorá sa konala v apríli 2006.</t>
  </si>
  <si>
    <t>o dielo. V súčasnosti sa spracovávajú grafické návrhy.</t>
  </si>
  <si>
    <r>
      <t>Výroba propagačného materiálu a propagácia mesta v publikáciách</t>
    </r>
    <r>
      <rPr>
        <sz val="10"/>
        <rFont val="Arial CE"/>
        <family val="0"/>
      </rPr>
      <t xml:space="preserve"> - ukončili sa výberové konania, podpísali sa zmluvy </t>
    </r>
  </si>
  <si>
    <r>
      <t>spracovanie prostriedkov zameraných na získanie prostriedkov zo štrukt.fondov</t>
    </r>
    <r>
      <rPr>
        <sz val="10"/>
        <rFont val="Arial CE"/>
        <family val="0"/>
      </rPr>
      <t xml:space="preserve"> - výdavky spojené s rozmnožovaním</t>
    </r>
  </si>
  <si>
    <t>materiálov zameraných na získanie prostriedkov zo štruktutálnych fondov - čerpanie podľa vzniknutej potreby</t>
  </si>
  <si>
    <r>
      <t>štúdie,expertízy,posudky-právne oddelenie</t>
    </r>
    <r>
      <rPr>
        <sz val="10"/>
        <rFont val="Arial CE"/>
        <family val="0"/>
      </rPr>
      <t xml:space="preserve"> - úhrada odmeny znalca za vypracovanie odborného posudku na zhodnotenie </t>
    </r>
  </si>
  <si>
    <t>opodstatnenosti vynaložených investícií v súvislosti s realizáciou projektu EPC na majetku tepelného hospodárstva</t>
  </si>
  <si>
    <r>
      <t>projekty k žiadostiam o získanie prostriedkov z EÚ</t>
    </r>
    <r>
      <rPr>
        <sz val="10"/>
        <rFont val="Arial CE"/>
        <family val="0"/>
      </rPr>
      <t xml:space="preserve"> - vyplácanie odmien za spísanie a vypracovanie žiadostí k projektom</t>
    </r>
  </si>
  <si>
    <t>vo vlastníctve mesta Prievidza - predpoklad čerpania v II. polroku</t>
  </si>
  <si>
    <t>o získanie finančných prostriedkov z EÚ po schválení dotácie príslušným ministerstvom SR - predpoklad čerpania v II.polr.</t>
  </si>
  <si>
    <r>
      <t>potraviny - výdavky na občerstvenie MsZ, MsR</t>
    </r>
    <r>
      <rPr>
        <sz val="10"/>
        <rFont val="Arial CE"/>
        <family val="0"/>
      </rPr>
      <t xml:space="preserve"> - predpoklad zvýšeného čerpania koncom roka</t>
    </r>
  </si>
  <si>
    <r>
      <t xml:space="preserve">advokátske, komerčné a iné právne služby - </t>
    </r>
    <r>
      <rPr>
        <sz val="10"/>
        <rFont val="Arial CE"/>
        <family val="2"/>
      </rPr>
      <t>v položke sú zahrnuté výdavky na právne služby vykonávané v zmysle uza-</t>
    </r>
  </si>
  <si>
    <t>tvorených zmlúv o poskytovaní právnej pomoci, ako aj odmena za poskyutnutie odbornej pomoci informačného a konzul-</t>
  </si>
  <si>
    <t>tačného servisu. Najväčšia časť rozpočtovaných prostriedkov bola určená na právne služby v súvislosti so súdnym sporom</t>
  </si>
  <si>
    <t>THM Inkasná s.r.o., B. Bystrica, ktorá si uplatňuje pohľadávku 152 mil. Sk voči mestu Prievidza za zhodnotenie majetku</t>
  </si>
  <si>
    <t xml:space="preserve">mesta spoločnosťou THM. Nečerpanie týchto výdavkov súvisí s tým, že pojednávanie ešte neprebehlo. </t>
  </si>
  <si>
    <t>prostriedkov cca 150 tis. Sk</t>
  </si>
  <si>
    <r>
      <t xml:space="preserve">poplatky a odvody-správne, súdne a notárske poplatky - </t>
    </r>
    <r>
      <rPr>
        <sz val="10"/>
        <rFont val="Arial CE"/>
        <family val="2"/>
      </rPr>
      <t>nízke čerpanie položky - niektoré návrhy podané na súd ešte neboli</t>
    </r>
  </si>
  <si>
    <t>začaté a teda nebol ani uhradený súdny poplatok. Vzhľadom na vývoj agendy je predpoklad nedočerpania rozpočt.</t>
  </si>
  <si>
    <t>Z oddielu boli čerpané výdavky na 3 pracovníčky administratívno-správnej činnosti, ktoré zabezpečujú agendu osvedčovania</t>
  </si>
  <si>
    <t>listín a podpisov, čo je originálna pôsobnosť a zabezpečuje sa z vlastných prostriedkov mesta. Matričnú činnosť mesto</t>
  </si>
  <si>
    <t>zabezpečuje z prostriedkov decentralizačnej  dotácie MF SR a čiastočne z vlastných príjmov za správne poplatky (viď. príj-</t>
  </si>
  <si>
    <t xml:space="preserve">my pol. 221004). Nižšie čerpanie rozpočtu z časového hľadiska je ovplyvnené zúčtovaním miezd, odvodov nemocenských </t>
  </si>
  <si>
    <t>dávok za obdobie I.-V/2006</t>
  </si>
  <si>
    <t>za obdobie 1-5/2006</t>
  </si>
  <si>
    <r>
      <t>610 mzdy,platby a ostatné vyrovnania a 620 poistné a príspevok do poisťovní</t>
    </r>
    <r>
      <rPr>
        <sz val="10"/>
        <rFont val="Arial CE"/>
        <family val="0"/>
      </rPr>
      <t xml:space="preserve"> - nižšie plnenie - zúčtovanie výdavkov </t>
    </r>
  </si>
  <si>
    <r>
      <t>631 cestovné</t>
    </r>
    <r>
      <rPr>
        <sz val="10"/>
        <rFont val="Arial CE"/>
        <family val="0"/>
      </rPr>
      <t xml:space="preserve"> - položka čerpaná do výšky skutočnej potreby</t>
    </r>
  </si>
  <si>
    <r>
      <t>632 energie, voda, komunikácie</t>
    </r>
    <r>
      <rPr>
        <sz val="10"/>
        <rFont val="Arial CE"/>
        <family val="0"/>
      </rPr>
      <t xml:space="preserve"> - celkové čerpanie do výšky skutočnej potreby, v prípade nutnosti bude položka uprave-</t>
    </r>
  </si>
  <si>
    <t>ná rozpočtovými presunmi</t>
  </si>
  <si>
    <r>
      <t>633 materiál</t>
    </r>
    <r>
      <rPr>
        <sz val="10"/>
        <rFont val="Arial CE"/>
        <family val="0"/>
      </rPr>
      <t xml:space="preserve"> - </t>
    </r>
    <r>
      <rPr>
        <i/>
        <sz val="10"/>
        <rFont val="Arial CE"/>
        <family val="2"/>
      </rPr>
      <t xml:space="preserve">výpočtová technika - </t>
    </r>
    <r>
      <rPr>
        <sz val="10"/>
        <rFont val="Arial CE"/>
        <family val="2"/>
      </rPr>
      <t xml:space="preserve">prečerpanie bude upravené rozpočtovým presunom. </t>
    </r>
    <r>
      <rPr>
        <i/>
        <sz val="10"/>
        <rFont val="Arial CE"/>
        <family val="2"/>
      </rPr>
      <t>Telekomunikačná technika</t>
    </r>
    <r>
      <rPr>
        <sz val="10"/>
        <rFont val="Arial CE"/>
        <family val="2"/>
      </rPr>
      <t xml:space="preserve"> - čer-</t>
    </r>
  </si>
  <si>
    <r>
      <t xml:space="preserve">panie v II. polroku - realizácia novej telefónnej linky. </t>
    </r>
    <r>
      <rPr>
        <i/>
        <sz val="10"/>
        <rFont val="Arial CE"/>
        <family val="2"/>
      </rPr>
      <t xml:space="preserve">Všeobecný materiál </t>
    </r>
    <r>
      <rPr>
        <sz val="10"/>
        <rFont val="Arial CE"/>
        <family val="0"/>
      </rPr>
      <t>- čerpanie podľa potreby, v prípade nutnosti bude</t>
    </r>
  </si>
  <si>
    <t>riešená rozpočtovým presunom</t>
  </si>
  <si>
    <r>
      <t>634 dopravné</t>
    </r>
    <r>
      <rPr>
        <sz val="10"/>
        <rFont val="Arial CE"/>
        <family val="0"/>
      </rPr>
      <t xml:space="preserve"> - čerpanie podľa potreby, cena benzínu má stúpajúcu tendenciu, ale predpokladáme, že schválené finančné</t>
    </r>
  </si>
  <si>
    <t>prostriedky budú postačujúce</t>
  </si>
  <si>
    <t>kami a potrebami na údržbu v priebehu I. polroka</t>
  </si>
  <si>
    <r>
      <t>635 rutinná a štandardná údržba</t>
    </r>
    <r>
      <rPr>
        <sz val="10"/>
        <rFont val="Arial CE"/>
        <family val="0"/>
      </rPr>
      <t xml:space="preserve"> - šetrenie rozpočtových prostriedkov, položka čerpaná v súlade so vzniknutými požiadav-</t>
    </r>
  </si>
  <si>
    <r>
      <t>636 nájomné za prenájom</t>
    </r>
    <r>
      <rPr>
        <sz val="10"/>
        <rFont val="Arial CE"/>
        <family val="0"/>
      </rPr>
      <t xml:space="preserve"> - </t>
    </r>
    <r>
      <rPr>
        <i/>
        <sz val="10"/>
        <rFont val="Arial CE"/>
        <family val="2"/>
      </rPr>
      <t>prevádzkových strojov, prístrojov</t>
    </r>
    <r>
      <rPr>
        <sz val="10"/>
        <rFont val="Arial CE"/>
        <family val="0"/>
      </rPr>
      <t xml:space="preserve"> - nájomné za kamery - čerpanie v II. polroku</t>
    </r>
  </si>
  <si>
    <r>
      <t>637 služby</t>
    </r>
    <r>
      <rPr>
        <sz val="10"/>
        <rFont val="Arial CE"/>
        <family val="0"/>
      </rPr>
      <t xml:space="preserve"> - </t>
    </r>
    <r>
      <rPr>
        <i/>
        <sz val="10"/>
        <rFont val="Arial CE"/>
        <family val="2"/>
      </rPr>
      <t>školenia, kurzy, semináre</t>
    </r>
    <r>
      <rPr>
        <sz val="10"/>
        <rFont val="Arial CE"/>
        <family val="0"/>
      </rPr>
      <t xml:space="preserve"> - absolvovanie odbornej spôsobilosti príslušníkov MsP, položka je čerpaná podľa</t>
    </r>
  </si>
  <si>
    <r>
      <t>okolností a podľa prijímaných nových kadetov na pozíciu -príslušník MsP.</t>
    </r>
    <r>
      <rPr>
        <i/>
        <sz val="10"/>
        <rFont val="Arial CE"/>
        <family val="2"/>
      </rPr>
      <t xml:space="preserve"> Konkurzy a súťaže </t>
    </r>
    <r>
      <rPr>
        <sz val="10"/>
        <rFont val="Arial CE"/>
        <family val="0"/>
      </rPr>
      <t>- čerpanie v II. polroku</t>
    </r>
  </si>
  <si>
    <r>
      <t>Špeciálne služby</t>
    </r>
    <r>
      <rPr>
        <sz val="10"/>
        <rFont val="Arial CE"/>
        <family val="0"/>
      </rPr>
      <t xml:space="preserve"> - položka je rozdelená na materiálnu ochranu objektov - čerpanie priebežné podľa štvrťročných platieb</t>
    </r>
  </si>
  <si>
    <t>revízie a kontroly zariadení - bolo potrebné vykonať niektoré nepredpokladané revízie, položka bude upravená rozpočtovým</t>
  </si>
  <si>
    <t>presunom</t>
  </si>
  <si>
    <r>
      <t>642 transfery jednotlivcom a neziskovým organizáciám -</t>
    </r>
    <r>
      <rPr>
        <sz val="10"/>
        <rFont val="Arial CE"/>
        <family val="2"/>
      </rPr>
      <t xml:space="preserve"> položky budú čerpané priebežne v II. polroku </t>
    </r>
  </si>
  <si>
    <r>
      <t xml:space="preserve">výdavky súvisiace s vybavením žiadosti na poskytnutie dotácií - </t>
    </r>
    <r>
      <rPr>
        <sz val="10"/>
        <rFont val="Arial CE"/>
        <family val="2"/>
      </rPr>
      <t>predpoklad čerpania v II. polroku</t>
    </r>
  </si>
  <si>
    <r>
      <t>711 nákup pozemkov a nehmotných aktív</t>
    </r>
    <r>
      <rPr>
        <sz val="10"/>
        <rFont val="Arial CE"/>
        <family val="0"/>
      </rPr>
      <t xml:space="preserve"> -</t>
    </r>
    <r>
      <rPr>
        <i/>
        <sz val="10"/>
        <rFont val="Arial CE"/>
        <family val="2"/>
      </rPr>
      <t xml:space="preserve"> nákup softvéru</t>
    </r>
    <r>
      <rPr>
        <sz val="10"/>
        <rFont val="Arial CE"/>
        <family val="0"/>
      </rPr>
      <t xml:space="preserve"> - predpoklad čerpania v II. polroku</t>
    </r>
  </si>
  <si>
    <r>
      <t>713 nákup strojov, prístrojov a zariadení</t>
    </r>
    <r>
      <rPr>
        <sz val="10"/>
        <rFont val="Arial CE"/>
        <family val="0"/>
      </rPr>
      <t xml:space="preserve"> - </t>
    </r>
    <r>
      <rPr>
        <i/>
        <sz val="10"/>
        <rFont val="Arial CE"/>
        <family val="2"/>
      </rPr>
      <t xml:space="preserve">výpočtovej techniky </t>
    </r>
    <r>
      <rPr>
        <sz val="10"/>
        <rFont val="Arial CE"/>
        <family val="0"/>
      </rPr>
      <t>- predpoklad čerpania v II. polroku</t>
    </r>
  </si>
  <si>
    <r>
      <t>820 splácanie istín</t>
    </r>
    <r>
      <rPr>
        <sz val="10"/>
        <rFont val="Arial CE"/>
        <family val="0"/>
      </rPr>
      <t xml:space="preserve"> - ide o leasingové splátky za služobné vozidlá MsP - čerpanie podľa splátkového kalendára</t>
    </r>
  </si>
  <si>
    <t xml:space="preserve">Z oddielu sú financované aktivity dobrovoľného požiarneho zboru v mestskej časti V. Lehôtka, ktoré boli za obdobie </t>
  </si>
  <si>
    <t>I. polroka šetrené. Finančné čiastky rozpočtované v položkách 633 - nákup hasiacich prístrojov a pracovných odevov a</t>
  </si>
  <si>
    <t>637 - špecifické služby za plnenie úloh požiarnej ochrany - budú čerpané v II. polroku</t>
  </si>
  <si>
    <t xml:space="preserve"> - Monitor. kamerový systém, Nám.slobody,Námestie</t>
  </si>
  <si>
    <t xml:space="preserve">   J.C. Hronského, autobus.stanica, ŽSR, Ul.Š.Králika.</t>
  </si>
  <si>
    <t>Z rozpočtového oddielu boli hradené bežné výdavky oddelenia výstavby vo výške 974 tis. Sk, čo predstavuje 75,2 % plnenie.</t>
  </si>
  <si>
    <r>
      <t xml:space="preserve">Položka </t>
    </r>
    <r>
      <rPr>
        <i/>
        <sz val="10"/>
        <rFont val="Arial CE"/>
        <family val="2"/>
      </rPr>
      <t>údržba budov, objektov a ich častí</t>
    </r>
    <r>
      <rPr>
        <sz val="10"/>
        <rFont val="Arial CE"/>
        <family val="0"/>
      </rPr>
      <t xml:space="preserve"> -  výmena dverí a podláh v budove MsÚ ukončená</t>
    </r>
  </si>
  <si>
    <r>
      <t>Projekty k žiadostiam o získanie prostriedkov z EÚ</t>
    </r>
    <r>
      <rPr>
        <sz val="10"/>
        <rFont val="Arial CE"/>
        <family val="0"/>
      </rPr>
      <t xml:space="preserve"> - položka dočerpaná</t>
    </r>
  </si>
  <si>
    <t>Komentár k plneniu kapitálových výdavkov je spracovaný v samostatnej prílohe č. 1</t>
  </si>
  <si>
    <t>Z rozpočtového oddielu boli financované výdavky na mzdy, odvody do poistných fondov, tovary a služby samostatne za</t>
  </si>
  <si>
    <t>pracovníkov na úseku štátneho fondu rozvoja bývania (ŠFRB) a samostatne za pracovníkov stavebného poriadku (SÚ).</t>
  </si>
  <si>
    <t>Celkové výdavky vo výške 1 372 tis. Sk predstavujú v porovnaní s časovým harmonogramom úsporu 520 tis. Sk</t>
  </si>
  <si>
    <r>
      <t xml:space="preserve">Nižšie čerpanie položiek </t>
    </r>
    <r>
      <rPr>
        <b/>
        <sz val="10"/>
        <rFont val="Arial CE"/>
        <family val="2"/>
      </rPr>
      <t>610 mzdy, platy a ostatné osobné vyrovnania a 620 odvody do poisťovní</t>
    </r>
    <r>
      <rPr>
        <sz val="10"/>
        <rFont val="Arial CE"/>
        <family val="0"/>
      </rPr>
      <t xml:space="preserve"> - zúčtovanie miezd </t>
    </r>
  </si>
  <si>
    <t xml:space="preserve">za obdobie 1-5/2006. </t>
  </si>
  <si>
    <r>
      <t>630 tovary a služby</t>
    </r>
    <r>
      <rPr>
        <sz val="10"/>
        <rFont val="Arial CE"/>
        <family val="0"/>
      </rPr>
      <t xml:space="preserve"> - výdavky na materiálne zabezpečenie činnosti ŠFRB a SÚ -  zahŕňa cestovné náklady, spotrebu </t>
    </r>
  </si>
  <si>
    <t>elektrickej energie, vodu, telefóny, poštové služby(vyššie čerpanie - 99% doručenkové obálky do vlastných rúk)</t>
  </si>
  <si>
    <r>
      <t>Transfery jednotlivcom a neziskovým PO</t>
    </r>
    <r>
      <rPr>
        <sz val="10"/>
        <rFont val="Arial CE"/>
        <family val="0"/>
      </rPr>
      <t xml:space="preserve"> - príspevok pre Regionálne združenie ochrany spotrebiteľa - čerpanie v II. polroku </t>
    </r>
  </si>
  <si>
    <r>
      <t>pokuty a penále</t>
    </r>
    <r>
      <rPr>
        <sz val="10"/>
        <rFont val="Arial CE"/>
        <family val="0"/>
      </rPr>
      <t xml:space="preserve"> - výdavok za nesplnenie povinného podielu zamestnávania občanov s zdravotným postihnutím</t>
    </r>
  </si>
  <si>
    <t>Z rozpočtového oddielu bol financovaný program menších obecných  služieb, v rámci ktorého bola medzi mestom Prievidza</t>
  </si>
  <si>
    <t>poberajúcich dávku v hmotnej núdzi, oproti pôvodne rozpočtovaným 250 občanom. Z uvedeného dôvodu je aj čerpanie</t>
  </si>
  <si>
    <t>nákladov pre aktivačných pracovníkov nižší ako rozpočtové položky. Mesto zamestnáva 7 koordinátorov na organizovanie</t>
  </si>
  <si>
    <t>projektu menších obecných služieb, pričom finančné prostriedky vyčlenené na aktivačné práce sú mestu uhrádzané</t>
  </si>
  <si>
    <t>ÚPSVaR vždy mesačne po predložení dokladov.</t>
  </si>
  <si>
    <t xml:space="preserve">a ÚPSVaR uzavretá Dohoda od 1. 4. 2006 do 31. 12.2006. K 30. 6. 2006 sa aktivačných prác zúčastnilo 163 občanov </t>
  </si>
  <si>
    <t>sia s čistením mesta, evidujeme ich v rámci oddielu 05.1.0 - nakladanie s odpadmi, pol. 637004 - čistenie verejných prie-</t>
  </si>
  <si>
    <t>mesto nemohlo vykonávať menšie obecné služby a poskytnúť pre nezamestnaných priestor pre aktivačnú činnosť. Nakoľko</t>
  </si>
  <si>
    <t xml:space="preserve">     V súvislosti s čistením verejných priestranstiev mesto vykazuje výrazné šetrenie. Nakoľko tieto výdavky súvi-</t>
  </si>
  <si>
    <t>stranstiev. Tieto výdavky sú mestu fakturované na základe objednaných výkonov Tezas-om, s.r.o..Bez týchto výkonov by</t>
  </si>
  <si>
    <t>za obdobie I. polroka Tezas fakturoval mestu 39 tis. Sk, do konca roka bude položka ďalej výrazne šetrená (cca 340 tis.Sk).</t>
  </si>
  <si>
    <t>KAPITÁLOVÉ  VÝDAVKY</t>
  </si>
  <si>
    <t>I.-V.</t>
  </si>
  <si>
    <t xml:space="preserve">Energie,voda,komunikácie </t>
  </si>
  <si>
    <t>Podchod pre peších - energia</t>
  </si>
  <si>
    <t xml:space="preserve"> - kontrakt.-výst. trhy CR a veľtrhy, workshopy</t>
  </si>
  <si>
    <t xml:space="preserve"> '- úroky - Sociálne bývanie, Ciglianska cesta č. 2 - 173 b. j.</t>
  </si>
  <si>
    <t>Útulok pre bezprístrešných obč. na Košovskej ceste</t>
  </si>
  <si>
    <t>Iné</t>
  </si>
  <si>
    <t>Finančné operácie</t>
  </si>
  <si>
    <t>Od nefinančnej PO - od UNIPY</t>
  </si>
  <si>
    <t>Na decentralizačnú dotáciu na oblasť ŠFRB</t>
  </si>
  <si>
    <t>Na finanč.techn.a doprav.infraštrukt.-priem.park</t>
  </si>
  <si>
    <t xml:space="preserve">Aktualizácia územného plánu mesta-etapa prác   </t>
  </si>
  <si>
    <t xml:space="preserve">Program hospodárskeho a sociál.rozvoja mesta </t>
  </si>
  <si>
    <t>Na rozvoj sociálnej sféry pre DD-DPD</t>
  </si>
  <si>
    <t>Na rozvoj školstva-riešenie havarij.situácií v školách</t>
  </si>
  <si>
    <t xml:space="preserve"> - investičné akcie 5 VVO</t>
  </si>
  <si>
    <t>Transfery právnickej osobe založnej obcou...</t>
  </si>
  <si>
    <t>UNIPA,s.r.o. - dlažba parkoviska na Rastislav.ul.</t>
  </si>
  <si>
    <t>Peňaž.vklad mesta do zákl.imania spol.Prievidza Invest</t>
  </si>
  <si>
    <t>- vyporiadanie pozemkov za Tescom</t>
  </si>
  <si>
    <t xml:space="preserve"> - Rekonštrukcia Námestia slobody v Prievidzi</t>
  </si>
  <si>
    <t xml:space="preserve"> - Vzorový výbeh pre psov - sídl. Zapotôčky</t>
  </si>
  <si>
    <t xml:space="preserve"> - Sanácia strechy MŠ na Ul. Benického</t>
  </si>
  <si>
    <t xml:space="preserve"> - Rekonštrukcia schodov pri hoteli Magura</t>
  </si>
  <si>
    <t xml:space="preserve"> - Prístrešok autobusovej zastávky pri farskom kostole</t>
  </si>
  <si>
    <t xml:space="preserve">          prostriedky na rybárske preteky</t>
  </si>
  <si>
    <t xml:space="preserve">          ostatné </t>
  </si>
  <si>
    <t>- všeobecný materiál na životné prostredie</t>
  </si>
  <si>
    <t>Nákup prevádzk.stroj.,prístroj.,zariad.,techniky a náradia</t>
  </si>
  <si>
    <t>Inštalácia pomerových meračov tepla pre SMM, s.r.o.</t>
  </si>
  <si>
    <t>- na vykrytie prevádzk.nákladov(zamedzenie vzniku straty)</t>
  </si>
  <si>
    <t>Kapitálové výdavky - DD DPD Prievidza</t>
  </si>
  <si>
    <r>
      <t xml:space="preserve">poplatky a odvody-výdavky na úhradu daní </t>
    </r>
    <r>
      <rPr>
        <sz val="10"/>
        <rFont val="Arial CE"/>
        <family val="0"/>
      </rPr>
      <t>- výdavok na úhradu dane za komunálny odpad za mesto</t>
    </r>
  </si>
  <si>
    <r>
      <t>nákup výpočtovej techniky</t>
    </r>
    <r>
      <rPr>
        <b/>
        <sz val="10"/>
        <rFont val="Arial CE"/>
        <family val="2"/>
      </rPr>
      <t xml:space="preserve"> - </t>
    </r>
    <r>
      <rPr>
        <sz val="10"/>
        <rFont val="Arial CE"/>
        <family val="2"/>
      </rPr>
      <t>nákup dochádzkového systému a rýchlejších tlačiarní a hardware nad 30 tis. - čerpanie</t>
    </r>
  </si>
  <si>
    <t>v II. polroku</t>
  </si>
  <si>
    <r>
      <t>nákup prevádzkových strojov, prístrojov, zariadení</t>
    </r>
    <r>
      <rPr>
        <b/>
        <sz val="10"/>
        <rFont val="Arial CE"/>
        <family val="2"/>
      </rPr>
      <t xml:space="preserve"> - </t>
    </r>
    <r>
      <rPr>
        <sz val="10"/>
        <rFont val="Arial CE"/>
        <family val="2"/>
      </rPr>
      <t>kopírovací stroj bude zakúpený v II. polroku</t>
    </r>
  </si>
  <si>
    <r>
      <t>investičné akcie 5 VVO</t>
    </r>
    <r>
      <rPr>
        <b/>
        <sz val="10"/>
        <rFont val="Arial CE"/>
        <family val="2"/>
      </rPr>
      <t xml:space="preserve"> - </t>
    </r>
    <r>
      <rPr>
        <sz val="10"/>
        <rFont val="Arial CE"/>
        <family val="2"/>
      </rPr>
      <t xml:space="preserve">finančné prostriedky pre 5 volebných obvodov v celkovej výške 2 500 tis. Sk budú čerpané v </t>
    </r>
  </si>
  <si>
    <t>II. polroku</t>
  </si>
  <si>
    <r>
      <t>711-</t>
    </r>
    <r>
      <rPr>
        <i/>
        <sz val="10"/>
        <rFont val="Arial CE"/>
        <family val="2"/>
      </rPr>
      <t xml:space="preserve"> nákup softvéru</t>
    </r>
    <r>
      <rPr>
        <sz val="10"/>
        <rFont val="Arial CE"/>
        <family val="2"/>
      </rPr>
      <t xml:space="preserve"> - nákup nových licencií pre moduly v informačnom systéme samosprávy - čerpanie v II. polroku </t>
    </r>
  </si>
  <si>
    <r>
      <t>Nákup prevádzkových strojov, prístrojov, zariadení</t>
    </r>
    <r>
      <rPr>
        <sz val="10"/>
        <rFont val="Arial CE"/>
        <family val="0"/>
      </rPr>
      <t xml:space="preserve"> - výroba cca 47 ks predajných stánkov k jarmočným dňon mesta</t>
    </r>
  </si>
  <si>
    <t>34 341tis. Sk, čo predstavuje 38,5% čerpanie rozpočtu. Najvýraznejšie odchýlky vykazujeme u týchto položiek:</t>
  </si>
  <si>
    <r>
      <t>Jednorazová dávka v hmotnej núdzi</t>
    </r>
    <r>
      <rPr>
        <sz val="9"/>
        <rFont val="Arial CE"/>
        <family val="2"/>
      </rPr>
      <t xml:space="preserve"> - starostlivosť o ťažko zdravotne postihnutých občanov bola vyplatená pre 24 občanov na </t>
    </r>
  </si>
  <si>
    <t xml:space="preserve">                                           - komentár k čerpaniu výdavkov</t>
  </si>
  <si>
    <r>
      <t>714</t>
    </r>
    <r>
      <rPr>
        <i/>
        <sz val="10"/>
        <rFont val="Arial CE"/>
        <family val="2"/>
      </rPr>
      <t xml:space="preserve"> - nákup osobných automobilov</t>
    </r>
    <r>
      <rPr>
        <b/>
        <sz val="10"/>
        <rFont val="Arial CE"/>
        <family val="2"/>
      </rPr>
      <t xml:space="preserve"> -</t>
    </r>
    <r>
      <rPr>
        <sz val="10"/>
        <rFont val="Arial CE"/>
        <family val="2"/>
      </rPr>
      <t xml:space="preserve"> automobil pre spoločnosť Prievidza Invest, s.r.o. bude zakúpený v II. polroku </t>
    </r>
  </si>
  <si>
    <r>
      <t>717</t>
    </r>
    <r>
      <rPr>
        <i/>
        <sz val="10"/>
        <rFont val="Arial CE"/>
        <family val="2"/>
      </rPr>
      <t xml:space="preserve"> - rekonštrukcia budov</t>
    </r>
    <r>
      <rPr>
        <b/>
        <sz val="10"/>
        <rFont val="Arial CE"/>
        <family val="2"/>
      </rPr>
      <t xml:space="preserve"> -</t>
    </r>
    <r>
      <rPr>
        <sz val="10"/>
        <rFont val="Arial CE"/>
        <family val="2"/>
      </rPr>
      <t xml:space="preserve"> v I. polroku bola realizovaná rekonštrukcia sociálnych zariadení v MsD</t>
    </r>
  </si>
  <si>
    <r>
      <t xml:space="preserve">723 </t>
    </r>
    <r>
      <rPr>
        <i/>
        <sz val="10"/>
        <rFont val="Arial CE"/>
        <family val="2"/>
      </rPr>
      <t xml:space="preserve">transfery právnickej osobe - UNIPE - </t>
    </r>
    <r>
      <rPr>
        <sz val="10"/>
        <rFont val="Arial CE"/>
        <family val="2"/>
      </rPr>
      <t>čerpanie v II. polroku</t>
    </r>
  </si>
  <si>
    <r>
      <t>812 -</t>
    </r>
    <r>
      <rPr>
        <i/>
        <sz val="10"/>
        <rFont val="Arial CE"/>
        <family val="2"/>
      </rPr>
      <t xml:space="preserve"> úvery, pôžičky a návratné finančé výpomoci neziskovým PO - </t>
    </r>
    <r>
      <rPr>
        <sz val="10"/>
        <rFont val="Arial CE"/>
        <family val="2"/>
      </rPr>
      <t xml:space="preserve">výdavky na zabezpečenie činnosti spoločnosti Prievidza </t>
    </r>
  </si>
  <si>
    <t>Výdavky súvisiace so splátkou istiny a úrokov boli za obdobie I. polroka splácané v zmysle splátkových kalendárov.</t>
  </si>
  <si>
    <t>realizovať v II. polroku</t>
  </si>
  <si>
    <t xml:space="preserve">Nízke čerpanie rozpočtového oddielu celkom -  jednorázová splátka manipulačného poplatku za predčasné splatenie úveru  </t>
  </si>
  <si>
    <t>vo výške 1% z výšky nesplateného zostatku úveru, ako aj splátka úveru Tatra banke vo výške 112 500 tis. Sk sa bude</t>
  </si>
  <si>
    <t>V zmysle dohody boli vykonané a hradené auditorské služby za obdobie I. polroka</t>
  </si>
  <si>
    <t>vybavenie objektu Útulku na Košovskej ceste</t>
  </si>
  <si>
    <t>Transfery PO založenej obcou - SMM, s.r.o.</t>
  </si>
  <si>
    <t xml:space="preserve"> - Domov pre osamelých rodičov</t>
  </si>
  <si>
    <t xml:space="preserve"> - Kluby dôchodcov</t>
  </si>
  <si>
    <t xml:space="preserve"> - transfer na mzdové nákl.a odvody pre 4 zamestn.z CVČ</t>
  </si>
  <si>
    <t>REKONŠTRUKCIE  A  MODERNIZÁCIE</t>
  </si>
  <si>
    <t>Rekonštrukcia objektu Útulku na Košovskej ceste</t>
  </si>
  <si>
    <t>Rekonštrukcia 130 výložníkových stĺpov VO</t>
  </si>
  <si>
    <t xml:space="preserve">Bežné výdavky </t>
  </si>
  <si>
    <t>I.-VI.</t>
  </si>
  <si>
    <t>Prievidza Invest, s.r.o.</t>
  </si>
  <si>
    <t>ostatné</t>
  </si>
  <si>
    <t xml:space="preserve">Rozpočtové výdavky celkom(bežné, kapitálové a finančné operácie) boli za obdobie I. polroka plnené do výšky </t>
  </si>
  <si>
    <r>
      <t>610 mzdy a 620 poistné a príspevky do poisťovní</t>
    </r>
    <r>
      <rPr>
        <sz val="10"/>
        <rFont val="Arial CE"/>
        <family val="0"/>
      </rPr>
      <t xml:space="preserve"> - nižšie plnenie, zúčtovanie miezd za 1-5/2006.</t>
    </r>
  </si>
  <si>
    <t xml:space="preserve">01.6.0. </t>
  </si>
  <si>
    <t xml:space="preserve">01.1.1.6 </t>
  </si>
  <si>
    <t xml:space="preserve">03.1.0 </t>
  </si>
  <si>
    <t>Všeobecné verejné služby inde neklasifik.</t>
  </si>
  <si>
    <t xml:space="preserve">04.4.3 </t>
  </si>
  <si>
    <t xml:space="preserve">04.5.1  </t>
  </si>
  <si>
    <t xml:space="preserve">04.7.3  </t>
  </si>
  <si>
    <t xml:space="preserve">06.1.0 </t>
  </si>
  <si>
    <r>
      <t>631 cestovné náhrady</t>
    </r>
    <r>
      <rPr>
        <sz val="10"/>
        <rFont val="Arial CE"/>
        <family val="0"/>
      </rPr>
      <t xml:space="preserve"> - v štruktúre položku tvoria </t>
    </r>
    <r>
      <rPr>
        <i/>
        <sz val="10"/>
        <rFont val="Arial CE"/>
        <family val="2"/>
      </rPr>
      <t xml:space="preserve">výdavky v tuzemsku, </t>
    </r>
    <r>
      <rPr>
        <sz val="10"/>
        <rFont val="Arial CE"/>
        <family val="2"/>
      </rPr>
      <t>v rámci ktorých sú zúčtované cestovné výdavky,</t>
    </r>
  </si>
  <si>
    <r>
      <t>naturálne mzdy - príspevok na ošatenie a úpravu zovňajšku</t>
    </r>
    <r>
      <rPr>
        <sz val="10"/>
        <rFont val="Arial CE"/>
        <family val="0"/>
      </rPr>
      <t xml:space="preserve"> - finančné prostriedky budú dočerpané v II. polroku</t>
    </r>
  </si>
  <si>
    <t>2. Výdavky spolu za stavebný úrad (SÚ)</t>
  </si>
  <si>
    <t>Invest, s.r.o.(mzdy, odvody, kancelárske potreby, prevádzku...) čerpanie v II. polroku</t>
  </si>
  <si>
    <r>
      <t xml:space="preserve">814 - </t>
    </r>
    <r>
      <rPr>
        <i/>
        <sz val="10"/>
        <rFont val="Arial CE"/>
        <family val="2"/>
      </rPr>
      <t xml:space="preserve">peňažný vklad mesta do základného imania spol. Prievidza Invest - </t>
    </r>
    <r>
      <rPr>
        <sz val="10"/>
        <rFont val="Arial CE"/>
        <family val="2"/>
      </rPr>
      <t xml:space="preserve">vyčerpané </t>
    </r>
  </si>
  <si>
    <t xml:space="preserve">náhrada za ubytovanie, stravné a vedľajšie výdavky. Výdavky v zahraničí sú za I. polrok vysoko čerpané, ale celkovo je </t>
  </si>
  <si>
    <t>položka šetrená</t>
  </si>
  <si>
    <t>obdobím</t>
  </si>
  <si>
    <r>
      <t>632 energie,voda,komunikácie</t>
    </r>
    <r>
      <rPr>
        <sz val="10"/>
        <rFont val="Arial CE"/>
        <family val="0"/>
      </rPr>
      <t xml:space="preserve"> - v tom: vyššie výdavky na plyn a tepelnú energiu boli ovplyvnené dlhším vykurovacím </t>
    </r>
  </si>
  <si>
    <r>
      <t>633 materiál</t>
    </r>
    <r>
      <rPr>
        <sz val="10"/>
        <rFont val="Arial CE"/>
        <family val="0"/>
      </rPr>
      <t xml:space="preserve"> - položka je celkom šetrená cca o 660 tis. Sk, najvýraznejšie šetrenie vykazujeme u podpoložiek:</t>
    </r>
  </si>
  <si>
    <t>spoločnosti Prievidza Invest, s.r.o., kde má mesto aj peňažný vklad ako jediný spoločník spoločnosti</t>
  </si>
  <si>
    <r>
      <t>interiérové vybavenie</t>
    </r>
    <r>
      <rPr>
        <sz val="10"/>
        <rFont val="Arial CE"/>
        <family val="0"/>
      </rPr>
      <t xml:space="preserve"> - do konca roka je predpoklad dočerpania rozpočt.výdavkov - nákup interiérového vybavenia obchodnej          </t>
    </r>
  </si>
  <si>
    <r>
      <t>všeobecný materiál</t>
    </r>
    <r>
      <rPr>
        <sz val="10"/>
        <rFont val="Arial CE"/>
        <family val="0"/>
      </rPr>
      <t xml:space="preserve"> - jednotlivé výdavky podpoložky za obdobie I. polroka boli čerpané v náväznosti na vzniknutú potrebu,</t>
    </r>
  </si>
  <si>
    <t xml:space="preserve">ku koncu roku je predpoklad postupného dočerpávania rozpočtových výdavkov napr. (prezentačné suveníry s emblémom </t>
  </si>
  <si>
    <r>
      <t>634 dopravné</t>
    </r>
    <r>
      <rPr>
        <sz val="10"/>
        <rFont val="Arial CE"/>
        <family val="0"/>
      </rPr>
      <t xml:space="preserve"> - najvýraznejšie šetrenie podpoložky </t>
    </r>
    <r>
      <rPr>
        <i/>
        <sz val="10"/>
        <rFont val="Arial CE"/>
        <family val="2"/>
      </rPr>
      <t xml:space="preserve">servis, údržba, opravy, </t>
    </r>
    <r>
      <rPr>
        <sz val="10"/>
        <rFont val="Arial CE"/>
        <family val="2"/>
      </rPr>
      <t xml:space="preserve">ktorej čerpanie bolo do výšky </t>
    </r>
  </si>
  <si>
    <t xml:space="preserve">skutočne vzniknutej potreby. </t>
  </si>
  <si>
    <r>
      <t xml:space="preserve">Nízke čerpanie podpoložky </t>
    </r>
    <r>
      <rPr>
        <i/>
        <sz val="10"/>
        <rFont val="Arial CE"/>
        <family val="2"/>
      </rPr>
      <t>zákonného poistenia</t>
    </r>
    <r>
      <rPr>
        <sz val="10"/>
        <rFont val="Arial CE"/>
        <family val="0"/>
      </rPr>
      <t xml:space="preserve"> - ďalšie čerpanie v II. polroku </t>
    </r>
  </si>
  <si>
    <t>1-5 budú čerpané v II. polroku</t>
  </si>
  <si>
    <r>
      <t>637 služby</t>
    </r>
    <r>
      <rPr>
        <sz val="10"/>
        <rFont val="Arial CE"/>
        <family val="0"/>
      </rPr>
      <t xml:space="preserve"> - nižšie čerpanie vykazujeme u podpoložiek:</t>
    </r>
  </si>
  <si>
    <r>
      <t>635 rutinná a štandardná údržba</t>
    </r>
    <r>
      <rPr>
        <sz val="10"/>
        <rFont val="Arial CE"/>
        <family val="0"/>
      </rPr>
      <t xml:space="preserve"> - nízke čerpanie </t>
    </r>
    <r>
      <rPr>
        <i/>
        <sz val="10"/>
        <rFont val="Arial CE"/>
        <family val="2"/>
      </rPr>
      <t>operatívnej potreby mesta</t>
    </r>
    <r>
      <rPr>
        <sz val="10"/>
        <rFont val="Arial CE"/>
        <family val="0"/>
      </rPr>
      <t xml:space="preserve"> - finančné prostriedky určené pre VVO č.</t>
    </r>
  </si>
  <si>
    <t xml:space="preserve">kde očakávame zvýšenie počtu kopírovaných materiálov </t>
  </si>
  <si>
    <r>
      <t>údržba prevádzkových strojov, prístrojov, zariadení</t>
    </r>
    <r>
      <rPr>
        <sz val="10"/>
        <rFont val="Arial CE"/>
        <family val="0"/>
      </rPr>
      <t xml:space="preserve"> - čerpanie hlavne v II. polroku v súvislosti s nadchádzajúcimi volbami,</t>
    </r>
  </si>
  <si>
    <r>
      <t>služby daňového poradenstva</t>
    </r>
    <r>
      <rPr>
        <sz val="10"/>
        <rFont val="Arial CE"/>
        <family val="0"/>
      </rPr>
      <t xml:space="preserve"> - do konca roka nie je predpoklad čerpania položky</t>
    </r>
  </si>
  <si>
    <t>9001:2000, koncepcia tepelnej energetiky</t>
  </si>
  <si>
    <r>
      <t>zmluvné služby</t>
    </r>
    <r>
      <rPr>
        <sz val="10"/>
        <rFont val="Arial CE"/>
        <family val="0"/>
      </rPr>
      <t xml:space="preserve"> - vyššie čerpanie v II. polroku, v rámci položky sú rozpočtované ratingové analýzy,externý audit ISSO</t>
    </r>
  </si>
  <si>
    <t>kúpna cena pozemku je navýšená o finančnú čiastku zhotovovaných geometrických plánov. Položka bude navrhnutá na</t>
  </si>
  <si>
    <t>zvýšenie v úprave rozpočtu</t>
  </si>
  <si>
    <t>posudkov, cena ktorých je o túto čiastku navýšená a hradená kupujúcim. Položka bude navrhnutá na zvýšenie</t>
  </si>
  <si>
    <r>
      <t>štúdie,expertízy,posudky-majetkové oddelenie</t>
    </r>
    <r>
      <rPr>
        <sz val="10"/>
        <rFont val="Arial CE"/>
        <family val="0"/>
      </rPr>
      <t xml:space="preserve"> - vyššie čerpanie súvisí so zvýšeným množstvom zhotovovaných znaleckých</t>
    </r>
  </si>
  <si>
    <t>Tovary a služby (ŠKD pri PS)</t>
  </si>
  <si>
    <t>Tovary a služby (ZUŠ Stančeka)</t>
  </si>
  <si>
    <t>Bežné transfery (ŠSZČ)</t>
  </si>
  <si>
    <t>09.5.0.2</t>
  </si>
  <si>
    <t xml:space="preserve">Centrum voľného času </t>
  </si>
  <si>
    <t>Bežné transfery</t>
  </si>
  <si>
    <t>09.6.0.1</t>
  </si>
  <si>
    <t>Školské stravovacie zariadenia</t>
  </si>
  <si>
    <t>10 - SOCIÁLNE ZABEZPEČENIE</t>
  </si>
  <si>
    <t xml:space="preserve">Transfery jednotlivcom a  nezisk. PO </t>
  </si>
  <si>
    <t xml:space="preserve">Na dávku v hmotnej núdzi a prísp.k dávke </t>
  </si>
  <si>
    <t>- star. o zdravotne postihnutých občanov (jednoraz.dávka)</t>
  </si>
  <si>
    <t>Dávky sociálnej pomoci - pomoc občanom</t>
  </si>
  <si>
    <t>v hmotnej a sociálnej núdzi</t>
  </si>
  <si>
    <t xml:space="preserve">Transfery jednotlivcom a nezisk. PO </t>
  </si>
  <si>
    <t>- star. o občanov, ktorí potrebujú osobitnú pomoc (jednoraz.dávka)</t>
  </si>
  <si>
    <t xml:space="preserve"> - na sociálnu pôžičku</t>
  </si>
  <si>
    <t>Zariadenia sociálnych služieb - pomoc obč.</t>
  </si>
  <si>
    <t>Špeciálne služby ( bezdomovci)</t>
  </si>
  <si>
    <t>Iné (mylné platby)</t>
  </si>
  <si>
    <t xml:space="preserve"> - Košovská cesta</t>
  </si>
  <si>
    <t xml:space="preserve"> - Ciglianska cesta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</si>
</sst>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dd/mm/yy"/>
    <numFmt numFmtId="165" formatCode="0.0"/>
  </numFmts>
  <fonts count="25">
    <font>
      <sz val="10"/>
      <name val="Arial CE"/>
      <family val="0"/>
    </font>
    <font>
      <b/>
      <u val="single"/>
      <sz val="12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b/>
      <u val="single"/>
      <sz val="10"/>
      <name val="Arial CE"/>
      <family val="2"/>
    </font>
    <font>
      <i/>
      <sz val="10"/>
      <name val="Arial CE"/>
      <family val="2"/>
    </font>
    <font>
      <i/>
      <sz val="9"/>
      <name val="Arial CE"/>
      <family val="2"/>
    </font>
    <font>
      <sz val="12"/>
      <name val="Arial CE"/>
      <family val="2"/>
    </font>
    <font>
      <b/>
      <i/>
      <sz val="10"/>
      <name val="Arial CE"/>
      <family val="2"/>
    </font>
    <font>
      <b/>
      <i/>
      <sz val="11"/>
      <name val="Arial CE"/>
      <family val="2"/>
    </font>
    <font>
      <b/>
      <i/>
      <u val="single"/>
      <sz val="10"/>
      <name val="Arial CE"/>
      <family val="2"/>
    </font>
    <font>
      <u val="single"/>
      <sz val="10"/>
      <name val="Arial CE"/>
      <family val="2"/>
    </font>
    <font>
      <i/>
      <u val="single"/>
      <sz val="10"/>
      <name val="Arial CE"/>
      <family val="2"/>
    </font>
    <font>
      <b/>
      <sz val="9"/>
      <name val="Arial CE"/>
      <family val="2"/>
    </font>
    <font>
      <b/>
      <u val="single"/>
      <sz val="11"/>
      <name val="Arial CE"/>
      <family val="2"/>
    </font>
    <font>
      <b/>
      <u val="single"/>
      <sz val="9"/>
      <name val="Arial CE"/>
      <family val="2"/>
    </font>
    <font>
      <b/>
      <i/>
      <u val="single"/>
      <sz val="11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b/>
      <i/>
      <sz val="12"/>
      <name val="Arial CE"/>
      <family val="2"/>
    </font>
    <font>
      <b/>
      <i/>
      <sz val="9"/>
      <name val="Arial CE"/>
      <family val="2"/>
    </font>
    <font>
      <b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 style="double"/>
      <top style="thin"/>
      <bottom style="medium"/>
    </border>
    <border>
      <left style="double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 vertical="center" wrapText="1" shrinkToFit="1"/>
    </xf>
    <xf numFmtId="0" fontId="0" fillId="0" borderId="5" xfId="0" applyBorder="1" applyAlignment="1">
      <alignment horizontal="center" wrapText="1" shrinkToFit="1"/>
    </xf>
    <xf numFmtId="0" fontId="3" fillId="0" borderId="5" xfId="0" applyFont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7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5" fillId="0" borderId="0" xfId="0" applyFont="1" applyAlignment="1">
      <alignment/>
    </xf>
    <xf numFmtId="3" fontId="0" fillId="0" borderId="8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2" xfId="0" applyFont="1" applyBorder="1" applyAlignment="1">
      <alignment/>
    </xf>
    <xf numFmtId="3" fontId="6" fillId="0" borderId="4" xfId="0" applyNumberFormat="1" applyFont="1" applyBorder="1" applyAlignment="1">
      <alignment/>
    </xf>
    <xf numFmtId="3" fontId="6" fillId="0" borderId="2" xfId="0" applyNumberFormat="1" applyFont="1" applyBorder="1" applyAlignment="1">
      <alignment/>
    </xf>
    <xf numFmtId="14" fontId="7" fillId="0" borderId="9" xfId="0" applyNumberFormat="1" applyFont="1" applyBorder="1" applyAlignment="1" quotePrefix="1">
      <alignment/>
    </xf>
    <xf numFmtId="0" fontId="7" fillId="0" borderId="8" xfId="0" applyFont="1" applyBorder="1" applyAlignment="1">
      <alignment/>
    </xf>
    <xf numFmtId="0" fontId="7" fillId="0" borderId="0" xfId="0" applyFont="1" applyBorder="1" applyAlignment="1">
      <alignment/>
    </xf>
    <xf numFmtId="3" fontId="7" fillId="0" borderId="9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8" fillId="0" borderId="9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0" xfId="0" applyFont="1" applyBorder="1" applyAlignment="1">
      <alignment/>
    </xf>
    <xf numFmtId="3" fontId="8" fillId="0" borderId="9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0" fillId="0" borderId="8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9" xfId="0" applyNumberFormat="1" applyFont="1" applyBorder="1" applyAlignment="1">
      <alignment/>
    </xf>
    <xf numFmtId="0" fontId="4" fillId="0" borderId="9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Border="1" applyAlignment="1">
      <alignment/>
    </xf>
    <xf numFmtId="3" fontId="4" fillId="0" borderId="9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7" fillId="0" borderId="9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Border="1" applyAlignment="1" quotePrefix="1">
      <alignment/>
    </xf>
    <xf numFmtId="0" fontId="3" fillId="0" borderId="0" xfId="0" applyFont="1" applyBorder="1" applyAlignment="1">
      <alignment/>
    </xf>
    <xf numFmtId="0" fontId="0" fillId="0" borderId="9" xfId="0" applyFont="1" applyBorder="1" applyAlignment="1">
      <alignment/>
    </xf>
    <xf numFmtId="0" fontId="3" fillId="0" borderId="7" xfId="0" applyFont="1" applyBorder="1" applyAlignment="1" quotePrefix="1">
      <alignment/>
    </xf>
    <xf numFmtId="0" fontId="3" fillId="0" borderId="13" xfId="0" applyFont="1" applyBorder="1" applyAlignment="1">
      <alignment/>
    </xf>
    <xf numFmtId="0" fontId="3" fillId="0" borderId="10" xfId="0" applyFont="1" applyBorder="1" applyAlignment="1" quotePrefix="1">
      <alignment/>
    </xf>
    <xf numFmtId="3" fontId="3" fillId="0" borderId="11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left" wrapText="1" shrinkToFit="1"/>
    </xf>
    <xf numFmtId="0" fontId="3" fillId="0" borderId="19" xfId="0" applyFont="1" applyBorder="1" applyAlignment="1">
      <alignment/>
    </xf>
    <xf numFmtId="0" fontId="0" fillId="0" borderId="8" xfId="0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14" xfId="0" applyBorder="1" applyAlignment="1">
      <alignment/>
    </xf>
    <xf numFmtId="14" fontId="0" fillId="0" borderId="20" xfId="0" applyNumberFormat="1" applyBorder="1" applyAlignment="1">
      <alignment horizontal="center"/>
    </xf>
    <xf numFmtId="0" fontId="7" fillId="0" borderId="4" xfId="0" applyFont="1" applyBorder="1" applyAlignment="1">
      <alignment/>
    </xf>
    <xf numFmtId="3" fontId="7" fillId="0" borderId="2" xfId="0" applyNumberFormat="1" applyFont="1" applyBorder="1" applyAlignment="1">
      <alignment/>
    </xf>
    <xf numFmtId="3" fontId="7" fillId="0" borderId="4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9" xfId="0" applyBorder="1" applyAlignment="1" quotePrefix="1">
      <alignment/>
    </xf>
    <xf numFmtId="0" fontId="3" fillId="0" borderId="7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0" fontId="8" fillId="0" borderId="7" xfId="0" applyFont="1" applyBorder="1" applyAlignment="1">
      <alignment/>
    </xf>
    <xf numFmtId="3" fontId="9" fillId="0" borderId="9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7" fillId="0" borderId="9" xfId="0" applyFont="1" applyBorder="1" applyAlignment="1" quotePrefix="1">
      <alignment/>
    </xf>
    <xf numFmtId="0" fontId="0" fillId="0" borderId="9" xfId="0" applyFont="1" applyBorder="1" applyAlignment="1" quotePrefix="1">
      <alignment/>
    </xf>
    <xf numFmtId="0" fontId="4" fillId="0" borderId="7" xfId="0" applyFont="1" applyBorder="1" applyAlignment="1">
      <alignment/>
    </xf>
    <xf numFmtId="3" fontId="0" fillId="0" borderId="11" xfId="0" applyNumberFormat="1" applyBorder="1" applyAlignment="1">
      <alignment/>
    </xf>
    <xf numFmtId="0" fontId="10" fillId="2" borderId="21" xfId="0" applyFont="1" applyFill="1" applyBorder="1" applyAlignment="1">
      <alignment/>
    </xf>
    <xf numFmtId="0" fontId="10" fillId="2" borderId="19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10" fillId="2" borderId="5" xfId="0" applyFont="1" applyFill="1" applyBorder="1" applyAlignment="1">
      <alignment/>
    </xf>
    <xf numFmtId="3" fontId="2" fillId="2" borderId="21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9" xfId="0" applyFont="1" applyBorder="1" applyAlignment="1">
      <alignment horizontal="center"/>
    </xf>
    <xf numFmtId="0" fontId="6" fillId="0" borderId="0" xfId="0" applyFont="1" applyAlignment="1">
      <alignment/>
    </xf>
    <xf numFmtId="14" fontId="0" fillId="0" borderId="20" xfId="0" applyNumberFormat="1" applyFont="1" applyBorder="1" applyAlignment="1" quotePrefix="1">
      <alignment horizontal="center"/>
    </xf>
    <xf numFmtId="0" fontId="0" fillId="0" borderId="0" xfId="0" applyBorder="1" applyAlignment="1" quotePrefix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0" fillId="0" borderId="7" xfId="0" applyFont="1" applyBorder="1" applyAlignment="1" quotePrefix="1">
      <alignment/>
    </xf>
    <xf numFmtId="0" fontId="4" fillId="2" borderId="6" xfId="0" applyFont="1" applyFill="1" applyBorder="1" applyAlignment="1">
      <alignment/>
    </xf>
    <xf numFmtId="0" fontId="4" fillId="2" borderId="21" xfId="0" applyFont="1" applyFill="1" applyBorder="1" applyAlignment="1">
      <alignment/>
    </xf>
    <xf numFmtId="0" fontId="0" fillId="2" borderId="5" xfId="0" applyFill="1" applyBorder="1" applyAlignment="1">
      <alignment/>
    </xf>
    <xf numFmtId="3" fontId="4" fillId="2" borderId="21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6" fillId="0" borderId="8" xfId="0" applyFont="1" applyBorder="1" applyAlignment="1">
      <alignment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 wrapText="1"/>
    </xf>
    <xf numFmtId="0" fontId="0" fillId="0" borderId="6" xfId="0" applyBorder="1" applyAlignment="1">
      <alignment horizontal="right" wrapText="1" shrinkToFi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 quotePrefix="1">
      <alignment horizontal="center"/>
    </xf>
    <xf numFmtId="164" fontId="0" fillId="0" borderId="15" xfId="0" applyNumberFormat="1" applyFont="1" applyBorder="1" applyAlignment="1">
      <alignment horizontal="center"/>
    </xf>
    <xf numFmtId="14" fontId="0" fillId="0" borderId="20" xfId="0" applyNumberFormat="1" applyBorder="1" applyAlignment="1">
      <alignment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0" xfId="0" applyFont="1" applyBorder="1" applyAlignment="1" quotePrefix="1">
      <alignment/>
    </xf>
    <xf numFmtId="3" fontId="0" fillId="0" borderId="4" xfId="0" applyNumberFormat="1" applyFill="1" applyBorder="1" applyAlignment="1">
      <alignment/>
    </xf>
    <xf numFmtId="3" fontId="0" fillId="0" borderId="9" xfId="0" applyNumberFormat="1" applyFill="1" applyBorder="1" applyAlignment="1">
      <alignment/>
    </xf>
    <xf numFmtId="0" fontId="0" fillId="0" borderId="40" xfId="0" applyFont="1" applyBorder="1" applyAlignment="1">
      <alignment/>
    </xf>
    <xf numFmtId="0" fontId="2" fillId="2" borderId="4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 quotePrefix="1">
      <alignment/>
    </xf>
    <xf numFmtId="3" fontId="0" fillId="0" borderId="0" xfId="0" applyNumberForma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1" xfId="0" applyFont="1" applyBorder="1" applyAlignment="1" quotePrefix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3" fontId="0" fillId="0" borderId="2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0" fontId="2" fillId="2" borderId="6" xfId="0" applyFont="1" applyFill="1" applyBorder="1" applyAlignment="1">
      <alignment/>
    </xf>
    <xf numFmtId="3" fontId="2" fillId="2" borderId="19" xfId="0" applyNumberFormat="1" applyFont="1" applyFill="1" applyBorder="1" applyAlignment="1">
      <alignment/>
    </xf>
    <xf numFmtId="3" fontId="2" fillId="2" borderId="10" xfId="0" applyNumberFormat="1" applyFont="1" applyFill="1" applyBorder="1" applyAlignment="1">
      <alignment/>
    </xf>
    <xf numFmtId="3" fontId="2" fillId="2" borderId="13" xfId="0" applyNumberFormat="1" applyFont="1" applyFill="1" applyBorder="1" applyAlignment="1">
      <alignment/>
    </xf>
    <xf numFmtId="3" fontId="2" fillId="2" borderId="11" xfId="0" applyNumberFormat="1" applyFont="1" applyFill="1" applyBorder="1" applyAlignment="1">
      <alignment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2" xfId="0" applyBorder="1" applyAlignment="1">
      <alignment/>
    </xf>
    <xf numFmtId="14" fontId="2" fillId="0" borderId="33" xfId="0" applyNumberFormat="1" applyFont="1" applyBorder="1" applyAlignment="1" quotePrefix="1">
      <alignment horizontal="center"/>
    </xf>
    <xf numFmtId="0" fontId="2" fillId="0" borderId="34" xfId="0" applyFont="1" applyBorder="1" applyAlignment="1">
      <alignment horizontal="left"/>
    </xf>
    <xf numFmtId="0" fontId="0" fillId="0" borderId="35" xfId="0" applyBorder="1" applyAlignment="1">
      <alignment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/>
    </xf>
    <xf numFmtId="0" fontId="0" fillId="0" borderId="15" xfId="0" applyBorder="1" applyAlignment="1">
      <alignment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6" fillId="2" borderId="4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0" fillId="2" borderId="2" xfId="0" applyFill="1" applyBorder="1" applyAlignment="1">
      <alignment/>
    </xf>
    <xf numFmtId="3" fontId="12" fillId="0" borderId="9" xfId="0" applyNumberFormat="1" applyFont="1" applyBorder="1" applyAlignment="1">
      <alignment/>
    </xf>
    <xf numFmtId="3" fontId="13" fillId="0" borderId="9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3" fontId="13" fillId="0" borderId="7" xfId="0" applyNumberFormat="1" applyFont="1" applyBorder="1" applyAlignment="1">
      <alignment/>
    </xf>
    <xf numFmtId="0" fontId="6" fillId="0" borderId="9" xfId="0" applyFont="1" applyBorder="1" applyAlignment="1">
      <alignment/>
    </xf>
    <xf numFmtId="3" fontId="7" fillId="0" borderId="7" xfId="0" applyNumberFormat="1" applyFont="1" applyBorder="1" applyAlignment="1">
      <alignment/>
    </xf>
    <xf numFmtId="0" fontId="13" fillId="0" borderId="9" xfId="0" applyFont="1" applyBorder="1" applyAlignment="1">
      <alignment/>
    </xf>
    <xf numFmtId="0" fontId="7" fillId="0" borderId="7" xfId="0" applyFont="1" applyBorder="1" applyAlignment="1">
      <alignment/>
    </xf>
    <xf numFmtId="3" fontId="8" fillId="0" borderId="7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9" fillId="0" borderId="7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9" xfId="0" applyFont="1" applyBorder="1" applyAlignment="1">
      <alignment/>
    </xf>
    <xf numFmtId="0" fontId="9" fillId="0" borderId="7" xfId="0" applyFont="1" applyBorder="1" applyAlignment="1">
      <alignment/>
    </xf>
    <xf numFmtId="3" fontId="0" fillId="0" borderId="7" xfId="0" applyNumberFormat="1" applyFont="1" applyBorder="1" applyAlignment="1">
      <alignment/>
    </xf>
    <xf numFmtId="0" fontId="8" fillId="0" borderId="0" xfId="0" applyFont="1" applyBorder="1" applyAlignment="1" quotePrefix="1">
      <alignment/>
    </xf>
    <xf numFmtId="3" fontId="0" fillId="0" borderId="9" xfId="0" applyNumberFormat="1" applyBorder="1" applyAlignment="1">
      <alignment horizontal="center"/>
    </xf>
    <xf numFmtId="0" fontId="3" fillId="0" borderId="8" xfId="0" applyFont="1" applyBorder="1" applyAlignment="1">
      <alignment horizontal="center"/>
    </xf>
    <xf numFmtId="3" fontId="13" fillId="0" borderId="8" xfId="0" applyNumberFormat="1" applyFont="1" applyBorder="1" applyAlignment="1">
      <alignment/>
    </xf>
    <xf numFmtId="3" fontId="8" fillId="0" borderId="8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8" fillId="0" borderId="11" xfId="0" applyFont="1" applyBorder="1" applyAlignment="1">
      <alignment/>
    </xf>
    <xf numFmtId="3" fontId="8" fillId="0" borderId="13" xfId="0" applyNumberFormat="1" applyFont="1" applyBorder="1" applyAlignment="1">
      <alignment/>
    </xf>
    <xf numFmtId="3" fontId="0" fillId="0" borderId="1" xfId="0" applyNumberFormat="1" applyBorder="1" applyAlignment="1">
      <alignment horizontal="center"/>
    </xf>
    <xf numFmtId="0" fontId="0" fillId="0" borderId="19" xfId="0" applyBorder="1" applyAlignment="1">
      <alignment/>
    </xf>
    <xf numFmtId="0" fontId="2" fillId="0" borderId="35" xfId="0" applyFont="1" applyBorder="1" applyAlignment="1">
      <alignment horizontal="left"/>
    </xf>
    <xf numFmtId="3" fontId="0" fillId="0" borderId="14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3" fontId="12" fillId="0" borderId="0" xfId="0" applyNumberFormat="1" applyFont="1" applyBorder="1" applyAlignment="1">
      <alignment/>
    </xf>
    <xf numFmtId="3" fontId="15" fillId="0" borderId="9" xfId="0" applyNumberFormat="1" applyFont="1" applyBorder="1" applyAlignment="1">
      <alignment/>
    </xf>
    <xf numFmtId="0" fontId="0" fillId="0" borderId="42" xfId="0" applyBorder="1" applyAlignment="1">
      <alignment/>
    </xf>
    <xf numFmtId="3" fontId="0" fillId="0" borderId="2" xfId="0" applyNumberFormat="1" applyBorder="1" applyAlignment="1">
      <alignment horizontal="center"/>
    </xf>
    <xf numFmtId="14" fontId="2" fillId="0" borderId="43" xfId="0" applyNumberFormat="1" applyFont="1" applyBorder="1" applyAlignment="1" quotePrefix="1">
      <alignment horizontal="center"/>
    </xf>
    <xf numFmtId="0" fontId="2" fillId="0" borderId="4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44" xfId="0" applyBorder="1" applyAlignment="1">
      <alignment/>
    </xf>
    <xf numFmtId="3" fontId="0" fillId="0" borderId="15" xfId="0" applyNumberFormat="1" applyBorder="1" applyAlignment="1">
      <alignment/>
    </xf>
    <xf numFmtId="3" fontId="0" fillId="0" borderId="11" xfId="0" applyNumberFormat="1" applyBorder="1" applyAlignment="1">
      <alignment horizontal="center"/>
    </xf>
    <xf numFmtId="0" fontId="14" fillId="0" borderId="9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0" xfId="0" applyFont="1" applyBorder="1" applyAlignment="1">
      <alignment/>
    </xf>
    <xf numFmtId="0" fontId="4" fillId="0" borderId="11" xfId="0" applyFont="1" applyBorder="1" applyAlignment="1">
      <alignment/>
    </xf>
    <xf numFmtId="3" fontId="13" fillId="0" borderId="13" xfId="0" applyNumberFormat="1" applyFont="1" applyBorder="1" applyAlignment="1">
      <alignment/>
    </xf>
    <xf numFmtId="0" fontId="14" fillId="0" borderId="8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3" fontId="0" fillId="0" borderId="4" xfId="0" applyNumberFormat="1" applyBorder="1" applyAlignment="1">
      <alignment horizontal="center"/>
    </xf>
    <xf numFmtId="0" fontId="2" fillId="0" borderId="33" xfId="0" applyFont="1" applyBorder="1" applyAlignment="1" quotePrefix="1">
      <alignment horizontal="center"/>
    </xf>
    <xf numFmtId="0" fontId="0" fillId="0" borderId="0" xfId="0" applyBorder="1" applyAlignment="1">
      <alignment/>
    </xf>
    <xf numFmtId="3" fontId="0" fillId="0" borderId="20" xfId="0" applyNumberFormat="1" applyBorder="1" applyAlignment="1">
      <alignment/>
    </xf>
    <xf numFmtId="3" fontId="0" fillId="0" borderId="13" xfId="0" applyNumberFormat="1" applyBorder="1" applyAlignment="1">
      <alignment horizontal="center"/>
    </xf>
    <xf numFmtId="0" fontId="16" fillId="0" borderId="0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7" fillId="0" borderId="7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7" xfId="0" applyFill="1" applyBorder="1" applyAlignment="1">
      <alignment/>
    </xf>
    <xf numFmtId="0" fontId="14" fillId="0" borderId="0" xfId="0" applyFont="1" applyBorder="1" applyAlignment="1">
      <alignment/>
    </xf>
    <xf numFmtId="0" fontId="13" fillId="0" borderId="8" xfId="0" applyFont="1" applyBorder="1" applyAlignment="1">
      <alignment/>
    </xf>
    <xf numFmtId="0" fontId="5" fillId="0" borderId="7" xfId="0" applyFont="1" applyBorder="1" applyAlignment="1">
      <alignment/>
    </xf>
    <xf numFmtId="0" fontId="6" fillId="0" borderId="7" xfId="0" applyFont="1" applyBorder="1" applyAlignment="1" quotePrefix="1">
      <alignment/>
    </xf>
    <xf numFmtId="0" fontId="7" fillId="0" borderId="7" xfId="0" applyFont="1" applyBorder="1" applyAlignment="1" quotePrefix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 quotePrefix="1">
      <alignment/>
    </xf>
    <xf numFmtId="0" fontId="0" fillId="0" borderId="45" xfId="0" applyBorder="1" applyAlignment="1">
      <alignment/>
    </xf>
    <xf numFmtId="3" fontId="6" fillId="2" borderId="4" xfId="0" applyNumberFormat="1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13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3" fillId="0" borderId="0" xfId="0" applyFont="1" applyBorder="1" applyAlignment="1">
      <alignment/>
    </xf>
    <xf numFmtId="14" fontId="0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14" fontId="2" fillId="0" borderId="49" xfId="0" applyNumberFormat="1" applyFont="1" applyBorder="1" applyAlignment="1" quotePrefix="1">
      <alignment horizontal="center"/>
    </xf>
    <xf numFmtId="0" fontId="2" fillId="0" borderId="5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4" fontId="2" fillId="0" borderId="36" xfId="0" applyNumberFormat="1" applyFont="1" applyBorder="1" applyAlignment="1" quotePrefix="1">
      <alignment horizontal="center"/>
    </xf>
    <xf numFmtId="0" fontId="2" fillId="0" borderId="37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6" fillId="0" borderId="7" xfId="0" applyFont="1" applyFill="1" applyBorder="1" applyAlignment="1">
      <alignment/>
    </xf>
    <xf numFmtId="0" fontId="6" fillId="0" borderId="51" xfId="0" applyFont="1" applyFill="1" applyBorder="1" applyAlignment="1">
      <alignment/>
    </xf>
    <xf numFmtId="0" fontId="0" fillId="0" borderId="9" xfId="0" applyFill="1" applyBorder="1" applyAlignment="1">
      <alignment/>
    </xf>
    <xf numFmtId="0" fontId="11" fillId="0" borderId="9" xfId="0" applyFont="1" applyFill="1" applyBorder="1" applyAlignment="1">
      <alignment/>
    </xf>
    <xf numFmtId="0" fontId="7" fillId="0" borderId="51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3" fillId="0" borderId="9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0" fontId="8" fillId="0" borderId="9" xfId="0" applyFont="1" applyFill="1" applyBorder="1" applyAlignment="1">
      <alignment/>
    </xf>
    <xf numFmtId="0" fontId="7" fillId="0" borderId="51" xfId="0" applyFont="1" applyBorder="1" applyAlignment="1">
      <alignment/>
    </xf>
    <xf numFmtId="0" fontId="0" fillId="0" borderId="51" xfId="0" applyFont="1" applyBorder="1" applyAlignment="1">
      <alignment/>
    </xf>
    <xf numFmtId="0" fontId="8" fillId="0" borderId="51" xfId="0" applyFont="1" applyBorder="1" applyAlignment="1">
      <alignment/>
    </xf>
    <xf numFmtId="0" fontId="0" fillId="0" borderId="51" xfId="0" applyBorder="1" applyAlignment="1">
      <alignment/>
    </xf>
    <xf numFmtId="0" fontId="0" fillId="0" borderId="52" xfId="0" applyFont="1" applyBorder="1" applyAlignment="1">
      <alignment/>
    </xf>
    <xf numFmtId="0" fontId="0" fillId="0" borderId="13" xfId="0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9" xfId="0" applyNumberFormat="1" applyFont="1" applyFill="1" applyBorder="1" applyAlignment="1">
      <alignment/>
    </xf>
    <xf numFmtId="3" fontId="7" fillId="0" borderId="7" xfId="0" applyNumberFormat="1" applyFont="1" applyFill="1" applyBorder="1" applyAlignment="1">
      <alignment/>
    </xf>
    <xf numFmtId="0" fontId="7" fillId="0" borderId="40" xfId="0" applyFont="1" applyBorder="1" applyAlignment="1">
      <alignment/>
    </xf>
    <xf numFmtId="0" fontId="6" fillId="0" borderId="9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3" fontId="14" fillId="0" borderId="9" xfId="0" applyNumberFormat="1" applyFont="1" applyFill="1" applyBorder="1" applyAlignment="1">
      <alignment/>
    </xf>
    <xf numFmtId="3" fontId="0" fillId="0" borderId="9" xfId="0" applyNumberFormat="1" applyFont="1" applyFill="1" applyBorder="1" applyAlignment="1">
      <alignment/>
    </xf>
    <xf numFmtId="3" fontId="13" fillId="0" borderId="9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3" fontId="3" fillId="0" borderId="9" xfId="0" applyNumberFormat="1" applyFont="1" applyFill="1" applyBorder="1" applyAlignment="1">
      <alignment/>
    </xf>
    <xf numFmtId="3" fontId="8" fillId="0" borderId="9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0" fontId="7" fillId="0" borderId="11" xfId="0" applyFont="1" applyBorder="1" applyAlignment="1">
      <alignment/>
    </xf>
    <xf numFmtId="0" fontId="8" fillId="0" borderId="51" xfId="0" applyFont="1" applyBorder="1" applyAlignment="1" quotePrefix="1">
      <alignment/>
    </xf>
    <xf numFmtId="0" fontId="13" fillId="0" borderId="7" xfId="0" applyFont="1" applyBorder="1" applyAlignment="1">
      <alignment/>
    </xf>
    <xf numFmtId="3" fontId="15" fillId="0" borderId="9" xfId="0" applyNumberFormat="1" applyFont="1" applyFill="1" applyBorder="1" applyAlignment="1">
      <alignment/>
    </xf>
    <xf numFmtId="3" fontId="7" fillId="0" borderId="8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3" fontId="6" fillId="0" borderId="9" xfId="0" applyNumberFormat="1" applyFont="1" applyFill="1" applyBorder="1" applyAlignment="1">
      <alignment/>
    </xf>
    <xf numFmtId="0" fontId="7" fillId="0" borderId="12" xfId="0" applyFont="1" applyBorder="1" applyAlignment="1">
      <alignment/>
    </xf>
    <xf numFmtId="0" fontId="2" fillId="0" borderId="36" xfId="0" applyFont="1" applyBorder="1" applyAlignment="1" quotePrefix="1">
      <alignment horizontal="center"/>
    </xf>
    <xf numFmtId="0" fontId="11" fillId="0" borderId="0" xfId="0" applyFont="1" applyBorder="1" applyAlignment="1">
      <alignment/>
    </xf>
    <xf numFmtId="0" fontId="17" fillId="0" borderId="0" xfId="0" applyFont="1" applyAlignment="1">
      <alignment/>
    </xf>
    <xf numFmtId="0" fontId="6" fillId="2" borderId="53" xfId="0" applyFont="1" applyFill="1" applyBorder="1" applyAlignment="1">
      <alignment/>
    </xf>
    <xf numFmtId="0" fontId="0" fillId="0" borderId="40" xfId="0" applyBorder="1" applyAlignment="1">
      <alignment/>
    </xf>
    <xf numFmtId="0" fontId="8" fillId="0" borderId="40" xfId="0" applyFont="1" applyBorder="1" applyAlignment="1">
      <alignment/>
    </xf>
    <xf numFmtId="0" fontId="0" fillId="0" borderId="54" xfId="0" applyFont="1" applyBorder="1" applyAlignment="1">
      <alignment/>
    </xf>
    <xf numFmtId="0" fontId="3" fillId="0" borderId="40" xfId="0" applyFont="1" applyBorder="1" applyAlignment="1">
      <alignment/>
    </xf>
    <xf numFmtId="0" fontId="9" fillId="0" borderId="0" xfId="0" applyFont="1" applyBorder="1" applyAlignment="1" quotePrefix="1">
      <alignment/>
    </xf>
    <xf numFmtId="0" fontId="8" fillId="0" borderId="3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0" fillId="0" borderId="8" xfId="0" applyFill="1" applyBorder="1" applyAlignment="1">
      <alignment/>
    </xf>
    <xf numFmtId="3" fontId="7" fillId="0" borderId="8" xfId="0" applyNumberFormat="1" applyFont="1" applyFill="1" applyBorder="1" applyAlignment="1">
      <alignment/>
    </xf>
    <xf numFmtId="0" fontId="16" fillId="0" borderId="0" xfId="0" applyFont="1" applyBorder="1" applyAlignment="1">
      <alignment/>
    </xf>
    <xf numFmtId="0" fontId="0" fillId="0" borderId="55" xfId="0" applyFont="1" applyBorder="1" applyAlignment="1">
      <alignment/>
    </xf>
    <xf numFmtId="0" fontId="3" fillId="0" borderId="51" xfId="0" applyFont="1" applyBorder="1" applyAlignment="1" quotePrefix="1">
      <alignment/>
    </xf>
    <xf numFmtId="0" fontId="7" fillId="0" borderId="55" xfId="0" applyFont="1" applyBorder="1" applyAlignment="1">
      <alignment/>
    </xf>
    <xf numFmtId="0" fontId="3" fillId="0" borderId="30" xfId="0" applyFont="1" applyBorder="1" applyAlignment="1">
      <alignment/>
    </xf>
    <xf numFmtId="3" fontId="0" fillId="0" borderId="12" xfId="0" applyNumberFormat="1" applyBorder="1" applyAlignment="1">
      <alignment/>
    </xf>
    <xf numFmtId="0" fontId="8" fillId="0" borderId="10" xfId="0" applyFont="1" applyBorder="1" applyAlignment="1">
      <alignment/>
    </xf>
    <xf numFmtId="0" fontId="8" fillId="0" borderId="52" xfId="0" applyFont="1" applyBorder="1" applyAlignment="1">
      <alignment/>
    </xf>
    <xf numFmtId="0" fontId="0" fillId="0" borderId="8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0" fillId="0" borderId="17" xfId="0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0" fillId="0" borderId="9" xfId="0" applyFont="1" applyBorder="1" applyAlignment="1" quotePrefix="1">
      <alignment horizontal="right"/>
    </xf>
    <xf numFmtId="0" fontId="0" fillId="0" borderId="0" xfId="0" applyFont="1" applyBorder="1" applyAlignment="1">
      <alignment horizontal="left"/>
    </xf>
    <xf numFmtId="0" fontId="0" fillId="0" borderId="9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" fontId="0" fillId="0" borderId="9" xfId="0" applyNumberFormat="1" applyFont="1" applyBorder="1" applyAlignment="1">
      <alignment horizontal="right"/>
    </xf>
    <xf numFmtId="0" fontId="7" fillId="0" borderId="54" xfId="0" applyFont="1" applyBorder="1" applyAlignment="1">
      <alignment/>
    </xf>
    <xf numFmtId="0" fontId="3" fillId="0" borderId="56" xfId="0" applyFont="1" applyBorder="1" applyAlignment="1" quotePrefix="1">
      <alignment/>
    </xf>
    <xf numFmtId="0" fontId="7" fillId="0" borderId="0" xfId="0" applyFont="1" applyBorder="1" applyAlignment="1" quotePrefix="1">
      <alignment/>
    </xf>
    <xf numFmtId="0" fontId="2" fillId="0" borderId="33" xfId="0" applyFont="1" applyBorder="1" applyAlignment="1">
      <alignment horizontal="center"/>
    </xf>
    <xf numFmtId="0" fontId="2" fillId="0" borderId="37" xfId="0" applyFont="1" applyBorder="1" applyAlignment="1">
      <alignment/>
    </xf>
    <xf numFmtId="0" fontId="9" fillId="0" borderId="52" xfId="0" applyFont="1" applyBorder="1" applyAlignment="1">
      <alignment/>
    </xf>
    <xf numFmtId="0" fontId="17" fillId="0" borderId="9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3" fillId="0" borderId="54" xfId="0" applyFont="1" applyBorder="1" applyAlignment="1" quotePrefix="1">
      <alignment/>
    </xf>
    <xf numFmtId="0" fontId="0" fillId="0" borderId="30" xfId="0" applyBorder="1" applyAlignment="1">
      <alignment/>
    </xf>
    <xf numFmtId="14" fontId="2" fillId="0" borderId="33" xfId="0" applyNumberFormat="1" applyFont="1" applyBorder="1" applyAlignment="1">
      <alignment horizontal="center"/>
    </xf>
    <xf numFmtId="0" fontId="13" fillId="0" borderId="7" xfId="0" applyFont="1" applyFill="1" applyBorder="1" applyAlignment="1">
      <alignment/>
    </xf>
    <xf numFmtId="0" fontId="0" fillId="0" borderId="10" xfId="0" applyFill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3" fontId="4" fillId="0" borderId="0" xfId="0" applyNumberFormat="1" applyFont="1" applyAlignment="1">
      <alignment/>
    </xf>
    <xf numFmtId="0" fontId="4" fillId="2" borderId="4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3" fontId="11" fillId="0" borderId="9" xfId="0" applyNumberFormat="1" applyFont="1" applyBorder="1" applyAlignment="1">
      <alignment/>
    </xf>
    <xf numFmtId="3" fontId="6" fillId="0" borderId="9" xfId="0" applyNumberFormat="1" applyFont="1" applyBorder="1" applyAlignment="1">
      <alignment/>
    </xf>
    <xf numFmtId="3" fontId="6" fillId="0" borderId="7" xfId="0" applyNumberFormat="1" applyFont="1" applyBorder="1" applyAlignment="1">
      <alignment/>
    </xf>
    <xf numFmtId="0" fontId="6" fillId="0" borderId="4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0" fillId="0" borderId="3" xfId="0" applyFont="1" applyBorder="1" applyAlignment="1">
      <alignment/>
    </xf>
    <xf numFmtId="3" fontId="11" fillId="0" borderId="4" xfId="0" applyNumberFormat="1" applyFont="1" applyBorder="1" applyAlignment="1">
      <alignment/>
    </xf>
    <xf numFmtId="3" fontId="11" fillId="0" borderId="8" xfId="0" applyNumberFormat="1" applyFont="1" applyBorder="1" applyAlignment="1">
      <alignment/>
    </xf>
    <xf numFmtId="0" fontId="4" fillId="2" borderId="7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3" fontId="4" fillId="2" borderId="7" xfId="0" applyNumberFormat="1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3" fontId="0" fillId="0" borderId="0" xfId="0" applyNumberFormat="1" applyFont="1" applyAlignment="1">
      <alignment/>
    </xf>
    <xf numFmtId="3" fontId="4" fillId="2" borderId="4" xfId="0" applyNumberFormat="1" applyFont="1" applyFill="1" applyBorder="1" applyAlignment="1">
      <alignment/>
    </xf>
    <xf numFmtId="3" fontId="4" fillId="2" borderId="2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6" fillId="0" borderId="7" xfId="0" applyFont="1" applyBorder="1" applyAlignment="1">
      <alignment/>
    </xf>
    <xf numFmtId="0" fontId="6" fillId="0" borderId="51" xfId="0" applyFont="1" applyBorder="1" applyAlignment="1">
      <alignment/>
    </xf>
    <xf numFmtId="3" fontId="6" fillId="0" borderId="8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3" fontId="2" fillId="0" borderId="0" xfId="0" applyNumberFormat="1" applyFont="1" applyAlignment="1">
      <alignment/>
    </xf>
    <xf numFmtId="0" fontId="0" fillId="2" borderId="2" xfId="0" applyFont="1" applyFill="1" applyBorder="1" applyAlignment="1">
      <alignment/>
    </xf>
    <xf numFmtId="3" fontId="0" fillId="0" borderId="1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" xfId="0" applyNumberFormat="1" applyFill="1" applyBorder="1" applyAlignment="1">
      <alignment/>
    </xf>
    <xf numFmtId="3" fontId="0" fillId="0" borderId="7" xfId="0" applyNumberForma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6" xfId="0" applyNumberFormat="1" applyBorder="1" applyAlignment="1">
      <alignment/>
    </xf>
    <xf numFmtId="3" fontId="4" fillId="2" borderId="7" xfId="0" applyNumberFormat="1" applyFont="1" applyFill="1" applyBorder="1" applyAlignment="1">
      <alignment/>
    </xf>
    <xf numFmtId="3" fontId="0" fillId="0" borderId="30" xfId="0" applyNumberFormat="1" applyBorder="1" applyAlignment="1">
      <alignment/>
    </xf>
    <xf numFmtId="3" fontId="6" fillId="0" borderId="1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3" fontId="4" fillId="2" borderId="7" xfId="0" applyNumberFormat="1" applyFont="1" applyFill="1" applyBorder="1" applyAlignment="1">
      <alignment horizontal="right"/>
    </xf>
    <xf numFmtId="3" fontId="0" fillId="0" borderId="53" xfId="0" applyNumberFormat="1" applyBorder="1" applyAlignment="1">
      <alignment/>
    </xf>
    <xf numFmtId="3" fontId="0" fillId="0" borderId="40" xfId="0" applyNumberFormat="1" applyBorder="1" applyAlignment="1">
      <alignment/>
    </xf>
    <xf numFmtId="3" fontId="13" fillId="0" borderId="7" xfId="0" applyNumberFormat="1" applyFont="1" applyFill="1" applyBorder="1" applyAlignment="1">
      <alignment/>
    </xf>
    <xf numFmtId="3" fontId="6" fillId="0" borderId="7" xfId="0" applyNumberFormat="1" applyFont="1" applyFill="1" applyBorder="1" applyAlignment="1">
      <alignment/>
    </xf>
    <xf numFmtId="3" fontId="0" fillId="0" borderId="2" xfId="0" applyNumberFormat="1" applyBorder="1" applyAlignment="1">
      <alignment/>
    </xf>
    <xf numFmtId="165" fontId="0" fillId="0" borderId="0" xfId="0" applyNumberFormat="1" applyAlignment="1">
      <alignment/>
    </xf>
    <xf numFmtId="165" fontId="0" fillId="0" borderId="4" xfId="0" applyNumberFormat="1" applyBorder="1" applyAlignment="1">
      <alignment/>
    </xf>
    <xf numFmtId="165" fontId="0" fillId="0" borderId="9" xfId="0" applyNumberFormat="1" applyBorder="1" applyAlignment="1">
      <alignment/>
    </xf>
    <xf numFmtId="165" fontId="0" fillId="0" borderId="13" xfId="0" applyNumberFormat="1" applyBorder="1" applyAlignment="1">
      <alignment/>
    </xf>
    <xf numFmtId="165" fontId="0" fillId="0" borderId="57" xfId="0" applyNumberFormat="1" applyBorder="1" applyAlignment="1">
      <alignment/>
    </xf>
    <xf numFmtId="165" fontId="0" fillId="0" borderId="58" xfId="0" applyNumberFormat="1" applyBorder="1" applyAlignment="1">
      <alignment/>
    </xf>
    <xf numFmtId="165" fontId="0" fillId="0" borderId="59" xfId="0" applyNumberFormat="1" applyBorder="1" applyAlignment="1">
      <alignment/>
    </xf>
    <xf numFmtId="165" fontId="8" fillId="0" borderId="0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60" xfId="0" applyNumberFormat="1" applyBorder="1" applyAlignment="1">
      <alignment/>
    </xf>
    <xf numFmtId="165" fontId="0" fillId="0" borderId="58" xfId="0" applyNumberFormat="1" applyFont="1" applyBorder="1" applyAlignment="1">
      <alignment/>
    </xf>
    <xf numFmtId="165" fontId="6" fillId="0" borderId="58" xfId="0" applyNumberFormat="1" applyFont="1" applyBorder="1" applyAlignment="1">
      <alignment/>
    </xf>
    <xf numFmtId="165" fontId="4" fillId="0" borderId="58" xfId="0" applyNumberFormat="1" applyFont="1" applyBorder="1" applyAlignment="1">
      <alignment/>
    </xf>
    <xf numFmtId="165" fontId="7" fillId="0" borderId="58" xfId="0" applyNumberFormat="1" applyFont="1" applyBorder="1" applyAlignment="1">
      <alignment/>
    </xf>
    <xf numFmtId="165" fontId="8" fillId="0" borderId="58" xfId="0" applyNumberFormat="1" applyFont="1" applyBorder="1" applyAlignment="1">
      <alignment/>
    </xf>
    <xf numFmtId="165" fontId="0" fillId="0" borderId="58" xfId="0" applyNumberFormat="1" applyFont="1" applyFill="1" applyBorder="1" applyAlignment="1">
      <alignment/>
    </xf>
    <xf numFmtId="165" fontId="2" fillId="0" borderId="0" xfId="0" applyNumberFormat="1" applyFont="1" applyAlignment="1">
      <alignment/>
    </xf>
    <xf numFmtId="165" fontId="7" fillId="0" borderId="0" xfId="0" applyNumberFormat="1" applyFont="1" applyAlignment="1">
      <alignment/>
    </xf>
    <xf numFmtId="165" fontId="0" fillId="0" borderId="0" xfId="0" applyNumberFormat="1" applyFont="1" applyBorder="1" applyAlignment="1">
      <alignment/>
    </xf>
    <xf numFmtId="165" fontId="2" fillId="2" borderId="57" xfId="0" applyNumberFormat="1" applyFont="1" applyFill="1" applyBorder="1" applyAlignment="1">
      <alignment/>
    </xf>
    <xf numFmtId="165" fontId="4" fillId="2" borderId="58" xfId="0" applyNumberFormat="1" applyFont="1" applyFill="1" applyBorder="1" applyAlignment="1">
      <alignment/>
    </xf>
    <xf numFmtId="165" fontId="3" fillId="0" borderId="58" xfId="0" applyNumberFormat="1" applyFont="1" applyBorder="1" applyAlignment="1">
      <alignment/>
    </xf>
    <xf numFmtId="165" fontId="13" fillId="0" borderId="58" xfId="0" applyNumberFormat="1" applyFont="1" applyBorder="1" applyAlignment="1">
      <alignment/>
    </xf>
    <xf numFmtId="165" fontId="0" fillId="0" borderId="60" xfId="0" applyNumberFormat="1" applyFont="1" applyBorder="1" applyAlignment="1">
      <alignment/>
    </xf>
    <xf numFmtId="0" fontId="5" fillId="2" borderId="1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19" fillId="2" borderId="4" xfId="0" applyFont="1" applyFill="1" applyBorder="1" applyAlignment="1">
      <alignment/>
    </xf>
    <xf numFmtId="0" fontId="17" fillId="2" borderId="4" xfId="0" applyFont="1" applyFill="1" applyBorder="1" applyAlignment="1">
      <alignment/>
    </xf>
    <xf numFmtId="0" fontId="4" fillId="2" borderId="61" xfId="0" applyFont="1" applyFill="1" applyBorder="1" applyAlignment="1">
      <alignment/>
    </xf>
    <xf numFmtId="0" fontId="12" fillId="2" borderId="4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12" fillId="2" borderId="2" xfId="0" applyFont="1" applyFill="1" applyBorder="1" applyAlignment="1">
      <alignment/>
    </xf>
    <xf numFmtId="3" fontId="4" fillId="2" borderId="0" xfId="0" applyNumberFormat="1" applyFont="1" applyFill="1" applyBorder="1" applyAlignment="1">
      <alignment/>
    </xf>
    <xf numFmtId="0" fontId="0" fillId="2" borderId="3" xfId="0" applyFont="1" applyFill="1" applyBorder="1" applyAlignment="1">
      <alignment/>
    </xf>
    <xf numFmtId="3" fontId="12" fillId="2" borderId="4" xfId="0" applyNumberFormat="1" applyFont="1" applyFill="1" applyBorder="1" applyAlignment="1">
      <alignment/>
    </xf>
    <xf numFmtId="3" fontId="4" fillId="2" borderId="3" xfId="0" applyNumberFormat="1" applyFont="1" applyFill="1" applyBorder="1" applyAlignment="1">
      <alignment/>
    </xf>
    <xf numFmtId="0" fontId="4" fillId="2" borderId="53" xfId="0" applyFont="1" applyFill="1" applyBorder="1" applyAlignment="1">
      <alignment/>
    </xf>
    <xf numFmtId="3" fontId="3" fillId="0" borderId="30" xfId="0" applyNumberFormat="1" applyFont="1" applyBorder="1" applyAlignment="1">
      <alignment/>
    </xf>
    <xf numFmtId="165" fontId="3" fillId="0" borderId="60" xfId="0" applyNumberFormat="1" applyFont="1" applyBorder="1" applyAlignment="1">
      <alignment/>
    </xf>
    <xf numFmtId="0" fontId="4" fillId="2" borderId="3" xfId="0" applyFont="1" applyFill="1" applyBorder="1" applyAlignment="1">
      <alignment/>
    </xf>
    <xf numFmtId="0" fontId="5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4" fillId="2" borderId="2" xfId="0" applyFont="1" applyFill="1" applyBorder="1" applyAlignment="1">
      <alignment horizontal="center"/>
    </xf>
    <xf numFmtId="3" fontId="4" fillId="2" borderId="4" xfId="0" applyNumberFormat="1" applyFont="1" applyFill="1" applyBorder="1" applyAlignment="1">
      <alignment horizontal="right"/>
    </xf>
    <xf numFmtId="3" fontId="4" fillId="2" borderId="2" xfId="0" applyNumberFormat="1" applyFont="1" applyFill="1" applyBorder="1" applyAlignment="1">
      <alignment horizontal="right"/>
    </xf>
    <xf numFmtId="3" fontId="4" fillId="2" borderId="0" xfId="0" applyNumberFormat="1" applyFont="1" applyFill="1" applyAlignment="1">
      <alignment/>
    </xf>
    <xf numFmtId="0" fontId="12" fillId="2" borderId="3" xfId="0" applyFont="1" applyFill="1" applyBorder="1" applyAlignment="1">
      <alignment/>
    </xf>
    <xf numFmtId="0" fontId="6" fillId="0" borderId="10" xfId="0" applyFont="1" applyBorder="1" applyAlignment="1">
      <alignment/>
    </xf>
    <xf numFmtId="0" fontId="0" fillId="0" borderId="7" xfId="0" applyBorder="1" applyAlignment="1" quotePrefix="1">
      <alignment/>
    </xf>
    <xf numFmtId="0" fontId="0" fillId="0" borderId="5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2" xfId="0" applyFont="1" applyBorder="1" applyAlignment="1" quotePrefix="1">
      <alignment/>
    </xf>
    <xf numFmtId="0" fontId="3" fillId="0" borderId="11" xfId="0" applyFont="1" applyBorder="1" applyAlignment="1" quotePrefix="1">
      <alignment/>
    </xf>
    <xf numFmtId="0" fontId="3" fillId="0" borderId="2" xfId="0" applyFont="1" applyBorder="1" applyAlignment="1">
      <alignment/>
    </xf>
    <xf numFmtId="3" fontId="3" fillId="0" borderId="2" xfId="0" applyNumberFormat="1" applyFont="1" applyBorder="1" applyAlignment="1">
      <alignment/>
    </xf>
    <xf numFmtId="0" fontId="10" fillId="0" borderId="2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10" fillId="0" borderId="3" xfId="0" applyFont="1" applyFill="1" applyBorder="1" applyAlignment="1">
      <alignment/>
    </xf>
    <xf numFmtId="0" fontId="10" fillId="0" borderId="8" xfId="0" applyFont="1" applyFill="1" applyBorder="1" applyAlignment="1">
      <alignment/>
    </xf>
    <xf numFmtId="0" fontId="10" fillId="0" borderId="4" xfId="0" applyFont="1" applyFill="1" applyBorder="1" applyAlignment="1">
      <alignment/>
    </xf>
    <xf numFmtId="0" fontId="10" fillId="0" borderId="9" xfId="0" applyFont="1" applyFill="1" applyBorder="1" applyAlignment="1">
      <alignment/>
    </xf>
    <xf numFmtId="3" fontId="7" fillId="0" borderId="1" xfId="0" applyNumberFormat="1" applyFont="1" applyBorder="1" applyAlignment="1">
      <alignment/>
    </xf>
    <xf numFmtId="3" fontId="4" fillId="2" borderId="6" xfId="0" applyNumberFormat="1" applyFont="1" applyFill="1" applyBorder="1" applyAlignment="1">
      <alignment/>
    </xf>
    <xf numFmtId="165" fontId="6" fillId="0" borderId="59" xfId="0" applyNumberFormat="1" applyFont="1" applyBorder="1" applyAlignment="1">
      <alignment/>
    </xf>
    <xf numFmtId="165" fontId="4" fillId="0" borderId="59" xfId="0" applyNumberFormat="1" applyFont="1" applyBorder="1" applyAlignment="1">
      <alignment/>
    </xf>
    <xf numFmtId="0" fontId="2" fillId="0" borderId="0" xfId="0" applyFont="1" applyFill="1" applyAlignment="1">
      <alignment/>
    </xf>
    <xf numFmtId="165" fontId="4" fillId="3" borderId="58" xfId="0" applyNumberFormat="1" applyFont="1" applyFill="1" applyBorder="1" applyAlignment="1">
      <alignment/>
    </xf>
    <xf numFmtId="0" fontId="0" fillId="0" borderId="2" xfId="0" applyFill="1" applyBorder="1" applyAlignment="1">
      <alignment/>
    </xf>
    <xf numFmtId="3" fontId="0" fillId="0" borderId="2" xfId="0" applyNumberFormat="1" applyFont="1" applyBorder="1" applyAlignment="1">
      <alignment/>
    </xf>
    <xf numFmtId="165" fontId="0" fillId="0" borderId="2" xfId="0" applyNumberFormat="1" applyBorder="1" applyAlignment="1">
      <alignment/>
    </xf>
    <xf numFmtId="3" fontId="4" fillId="0" borderId="8" xfId="0" applyNumberFormat="1" applyFont="1" applyFill="1" applyBorder="1" applyAlignment="1">
      <alignment/>
    </xf>
    <xf numFmtId="0" fontId="4" fillId="0" borderId="9" xfId="0" applyFont="1" applyFill="1" applyBorder="1" applyAlignment="1">
      <alignment/>
    </xf>
    <xf numFmtId="165" fontId="6" fillId="0" borderId="8" xfId="0" applyNumberFormat="1" applyFont="1" applyBorder="1" applyAlignment="1">
      <alignment/>
    </xf>
    <xf numFmtId="3" fontId="4" fillId="0" borderId="40" xfId="0" applyNumberFormat="1" applyFont="1" applyBorder="1" applyAlignment="1">
      <alignment/>
    </xf>
    <xf numFmtId="0" fontId="12" fillId="0" borderId="0" xfId="0" applyFont="1" applyBorder="1" applyAlignment="1">
      <alignment/>
    </xf>
    <xf numFmtId="3" fontId="4" fillId="0" borderId="9" xfId="0" applyNumberFormat="1" applyFont="1" applyFill="1" applyBorder="1" applyAlignment="1">
      <alignment/>
    </xf>
    <xf numFmtId="3" fontId="4" fillId="0" borderId="8" xfId="0" applyNumberFormat="1" applyFont="1" applyBorder="1" applyAlignment="1">
      <alignment/>
    </xf>
    <xf numFmtId="0" fontId="4" fillId="0" borderId="51" xfId="0" applyFont="1" applyBorder="1" applyAlignment="1">
      <alignment/>
    </xf>
    <xf numFmtId="3" fontId="8" fillId="0" borderId="2" xfId="0" applyNumberFormat="1" applyFont="1" applyBorder="1" applyAlignment="1">
      <alignment/>
    </xf>
    <xf numFmtId="0" fontId="8" fillId="0" borderId="2" xfId="0" applyFont="1" applyBorder="1" applyAlignment="1">
      <alignment/>
    </xf>
    <xf numFmtId="3" fontId="0" fillId="2" borderId="0" xfId="0" applyNumberFormat="1" applyFill="1" applyAlignment="1">
      <alignment/>
    </xf>
    <xf numFmtId="165" fontId="0" fillId="2" borderId="58" xfId="0" applyNumberFormat="1" applyFill="1" applyBorder="1" applyAlignment="1">
      <alignment/>
    </xf>
    <xf numFmtId="3" fontId="5" fillId="2" borderId="0" xfId="0" applyNumberFormat="1" applyFont="1" applyFill="1" applyAlignment="1">
      <alignment/>
    </xf>
    <xf numFmtId="165" fontId="5" fillId="2" borderId="58" xfId="0" applyNumberFormat="1" applyFont="1" applyFill="1" applyBorder="1" applyAlignment="1">
      <alignment/>
    </xf>
    <xf numFmtId="3" fontId="0" fillId="2" borderId="0" xfId="0" applyNumberFormat="1" applyFont="1" applyFill="1" applyAlignment="1">
      <alignment/>
    </xf>
    <xf numFmtId="165" fontId="0" fillId="2" borderId="59" xfId="0" applyNumberFormat="1" applyFont="1" applyFill="1" applyBorder="1" applyAlignment="1">
      <alignment/>
    </xf>
    <xf numFmtId="0" fontId="4" fillId="0" borderId="9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9" xfId="0" applyFont="1" applyBorder="1" applyAlignment="1" quotePrefix="1">
      <alignment horizontal="right"/>
    </xf>
    <xf numFmtId="3" fontId="4" fillId="3" borderId="40" xfId="0" applyNumberFormat="1" applyFont="1" applyFill="1" applyBorder="1" applyAlignment="1">
      <alignment horizontal="right"/>
    </xf>
    <xf numFmtId="0" fontId="2" fillId="2" borderId="5" xfId="0" applyFont="1" applyFill="1" applyBorder="1" applyAlignment="1" quotePrefix="1">
      <alignment/>
    </xf>
    <xf numFmtId="0" fontId="2" fillId="2" borderId="19" xfId="0" applyFont="1" applyFill="1" applyBorder="1" applyAlignment="1">
      <alignment/>
    </xf>
    <xf numFmtId="3" fontId="22" fillId="2" borderId="21" xfId="0" applyNumberFormat="1" applyFont="1" applyFill="1" applyBorder="1" applyAlignment="1">
      <alignment/>
    </xf>
    <xf numFmtId="165" fontId="4" fillId="0" borderId="8" xfId="0" applyNumberFormat="1" applyFont="1" applyBorder="1" applyAlignment="1">
      <alignment/>
    </xf>
    <xf numFmtId="0" fontId="4" fillId="0" borderId="8" xfId="0" applyFont="1" applyFill="1" applyBorder="1" applyAlignment="1">
      <alignment/>
    </xf>
    <xf numFmtId="165" fontId="0" fillId="0" borderId="4" xfId="0" applyNumberFormat="1" applyFont="1" applyBorder="1" applyAlignment="1">
      <alignment/>
    </xf>
    <xf numFmtId="165" fontId="0" fillId="0" borderId="9" xfId="0" applyNumberFormat="1" applyFont="1" applyBorder="1" applyAlignment="1">
      <alignment/>
    </xf>
    <xf numFmtId="0" fontId="8" fillId="0" borderId="4" xfId="0" applyFon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8" fillId="0" borderId="4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165" fontId="0" fillId="0" borderId="59" xfId="0" applyNumberFormat="1" applyFont="1" applyBorder="1" applyAlignment="1">
      <alignment/>
    </xf>
    <xf numFmtId="3" fontId="4" fillId="2" borderId="9" xfId="0" applyNumberFormat="1" applyFont="1" applyFill="1" applyBorder="1" applyAlignment="1">
      <alignment horizontal="right"/>
    </xf>
    <xf numFmtId="165" fontId="0" fillId="0" borderId="2" xfId="0" applyNumberFormat="1" applyFont="1" applyBorder="1" applyAlignment="1">
      <alignment/>
    </xf>
    <xf numFmtId="0" fontId="14" fillId="0" borderId="4" xfId="0" applyFont="1" applyBorder="1" applyAlignment="1">
      <alignment/>
    </xf>
    <xf numFmtId="0" fontId="0" fillId="0" borderId="4" xfId="0" applyFill="1" applyBorder="1" applyAlignment="1">
      <alignment/>
    </xf>
    <xf numFmtId="0" fontId="8" fillId="0" borderId="4" xfId="0" applyFont="1" applyFill="1" applyBorder="1" applyAlignment="1">
      <alignment/>
    </xf>
    <xf numFmtId="0" fontId="8" fillId="0" borderId="1" xfId="0" applyFont="1" applyBorder="1" applyAlignment="1">
      <alignment/>
    </xf>
    <xf numFmtId="165" fontId="0" fillId="0" borderId="8" xfId="0" applyNumberFormat="1" applyBorder="1" applyAlignment="1">
      <alignment/>
    </xf>
    <xf numFmtId="0" fontId="7" fillId="0" borderId="40" xfId="0" applyFont="1" applyFill="1" applyBorder="1" applyAlignment="1">
      <alignment/>
    </xf>
    <xf numFmtId="165" fontId="4" fillId="2" borderId="8" xfId="0" applyNumberFormat="1" applyFont="1" applyFill="1" applyBorder="1" applyAlignment="1">
      <alignment/>
    </xf>
    <xf numFmtId="3" fontId="4" fillId="2" borderId="53" xfId="0" applyNumberFormat="1" applyFont="1" applyFill="1" applyBorder="1" applyAlignment="1">
      <alignment/>
    </xf>
    <xf numFmtId="0" fontId="4" fillId="0" borderId="40" xfId="0" applyFont="1" applyBorder="1" applyAlignment="1">
      <alignment/>
    </xf>
    <xf numFmtId="165" fontId="0" fillId="0" borderId="8" xfId="0" applyNumberFormat="1" applyFont="1" applyBorder="1" applyAlignment="1">
      <alignment/>
    </xf>
    <xf numFmtId="0" fontId="11" fillId="0" borderId="9" xfId="0" applyFont="1" applyBorder="1" applyAlignment="1">
      <alignment/>
    </xf>
    <xf numFmtId="0" fontId="18" fillId="0" borderId="0" xfId="0" applyFont="1" applyBorder="1" applyAlignment="1">
      <alignment/>
    </xf>
    <xf numFmtId="165" fontId="7" fillId="0" borderId="8" xfId="0" applyNumberFormat="1" applyFont="1" applyBorder="1" applyAlignment="1">
      <alignment/>
    </xf>
    <xf numFmtId="165" fontId="8" fillId="0" borderId="8" xfId="0" applyNumberFormat="1" applyFont="1" applyBorder="1" applyAlignment="1">
      <alignment/>
    </xf>
    <xf numFmtId="3" fontId="7" fillId="0" borderId="40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3" fontId="8" fillId="0" borderId="40" xfId="0" applyNumberFormat="1" applyFont="1" applyBorder="1" applyAlignment="1">
      <alignment/>
    </xf>
    <xf numFmtId="0" fontId="6" fillId="0" borderId="53" xfId="0" applyFont="1" applyBorder="1" applyAlignment="1">
      <alignment/>
    </xf>
    <xf numFmtId="3" fontId="6" fillId="0" borderId="40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60" xfId="0" applyBorder="1" applyAlignment="1">
      <alignment/>
    </xf>
    <xf numFmtId="0" fontId="0" fillId="0" borderId="58" xfId="0" applyFont="1" applyBorder="1" applyAlignment="1">
      <alignment/>
    </xf>
    <xf numFmtId="0" fontId="6" fillId="0" borderId="58" xfId="0" applyFont="1" applyBorder="1" applyAlignment="1">
      <alignment/>
    </xf>
    <xf numFmtId="0" fontId="0" fillId="0" borderId="57" xfId="0" applyBorder="1" applyAlignment="1">
      <alignment/>
    </xf>
    <xf numFmtId="0" fontId="7" fillId="0" borderId="58" xfId="0" applyFont="1" applyBorder="1" applyAlignment="1">
      <alignment/>
    </xf>
    <xf numFmtId="0" fontId="4" fillId="0" borderId="58" xfId="0" applyFont="1" applyBorder="1" applyAlignment="1">
      <alignment/>
    </xf>
    <xf numFmtId="0" fontId="8" fillId="0" borderId="58" xfId="0" applyFont="1" applyBorder="1" applyAlignment="1">
      <alignment/>
    </xf>
    <xf numFmtId="3" fontId="4" fillId="2" borderId="1" xfId="0" applyNumberFormat="1" applyFont="1" applyFill="1" applyBorder="1" applyAlignment="1">
      <alignment horizontal="right"/>
    </xf>
    <xf numFmtId="0" fontId="0" fillId="0" borderId="59" xfId="0" applyBorder="1" applyAlignment="1">
      <alignment/>
    </xf>
    <xf numFmtId="0" fontId="5" fillId="0" borderId="59" xfId="0" applyFont="1" applyBorder="1" applyAlignment="1">
      <alignment/>
    </xf>
    <xf numFmtId="3" fontId="0" fillId="0" borderId="7" xfId="0" applyNumberFormat="1" applyFont="1" applyFill="1" applyBorder="1" applyAlignment="1">
      <alignment/>
    </xf>
    <xf numFmtId="0" fontId="0" fillId="0" borderId="60" xfId="0" applyFont="1" applyBorder="1" applyAlignment="1">
      <alignment/>
    </xf>
    <xf numFmtId="0" fontId="0" fillId="0" borderId="59" xfId="0" applyFont="1" applyBorder="1" applyAlignment="1">
      <alignment/>
    </xf>
    <xf numFmtId="0" fontId="0" fillId="0" borderId="58" xfId="0" applyFont="1" applyFill="1" applyBorder="1" applyAlignment="1">
      <alignment/>
    </xf>
    <xf numFmtId="3" fontId="9" fillId="0" borderId="0" xfId="0" applyNumberFormat="1" applyFont="1" applyAlignment="1">
      <alignment/>
    </xf>
    <xf numFmtId="165" fontId="9" fillId="0" borderId="58" xfId="0" applyNumberFormat="1" applyFont="1" applyBorder="1" applyAlignment="1">
      <alignment/>
    </xf>
    <xf numFmtId="0" fontId="3" fillId="0" borderId="0" xfId="0" applyFont="1" applyAlignment="1">
      <alignment/>
    </xf>
    <xf numFmtId="0" fontId="9" fillId="0" borderId="58" xfId="0" applyFont="1" applyBorder="1" applyAlignment="1">
      <alignment/>
    </xf>
    <xf numFmtId="0" fontId="0" fillId="0" borderId="4" xfId="0" applyFont="1" applyBorder="1" applyAlignment="1">
      <alignment/>
    </xf>
    <xf numFmtId="165" fontId="4" fillId="2" borderId="59" xfId="0" applyNumberFormat="1" applyFont="1" applyFill="1" applyBorder="1" applyAlignment="1">
      <alignment/>
    </xf>
    <xf numFmtId="165" fontId="6" fillId="3" borderId="58" xfId="0" applyNumberFormat="1" applyFont="1" applyFill="1" applyBorder="1" applyAlignment="1">
      <alignment/>
    </xf>
    <xf numFmtId="0" fontId="3" fillId="0" borderId="58" xfId="0" applyFont="1" applyBorder="1" applyAlignment="1">
      <alignment/>
    </xf>
    <xf numFmtId="165" fontId="4" fillId="2" borderId="3" xfId="0" applyNumberFormat="1" applyFont="1" applyFill="1" applyBorder="1" applyAlignment="1">
      <alignment/>
    </xf>
    <xf numFmtId="0" fontId="0" fillId="0" borderId="21" xfId="0" applyBorder="1" applyAlignment="1">
      <alignment/>
    </xf>
    <xf numFmtId="165" fontId="7" fillId="0" borderId="59" xfId="0" applyNumberFormat="1" applyFont="1" applyBorder="1" applyAlignment="1">
      <alignment/>
    </xf>
    <xf numFmtId="3" fontId="9" fillId="0" borderId="40" xfId="0" applyNumberFormat="1" applyFont="1" applyBorder="1" applyAlignment="1">
      <alignment/>
    </xf>
    <xf numFmtId="3" fontId="13" fillId="0" borderId="0" xfId="0" applyNumberFormat="1" applyFont="1" applyAlignment="1">
      <alignment/>
    </xf>
    <xf numFmtId="3" fontId="6" fillId="0" borderId="0" xfId="0" applyNumberFormat="1" applyFont="1" applyFill="1" applyBorder="1" applyAlignment="1">
      <alignment/>
    </xf>
    <xf numFmtId="3" fontId="5" fillId="0" borderId="1" xfId="0" applyNumberFormat="1" applyFont="1" applyBorder="1" applyAlignment="1">
      <alignment/>
    </xf>
    <xf numFmtId="0" fontId="6" fillId="0" borderId="6" xfId="0" applyFont="1" applyBorder="1" applyAlignment="1">
      <alignment/>
    </xf>
    <xf numFmtId="0" fontId="6" fillId="0" borderId="5" xfId="0" applyFont="1" applyBorder="1" applyAlignment="1">
      <alignment/>
    </xf>
    <xf numFmtId="3" fontId="6" fillId="0" borderId="21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3" fontId="6" fillId="0" borderId="6" xfId="0" applyNumberFormat="1" applyFont="1" applyBorder="1" applyAlignment="1">
      <alignment/>
    </xf>
    <xf numFmtId="165" fontId="6" fillId="0" borderId="57" xfId="0" applyNumberFormat="1" applyFont="1" applyBorder="1" applyAlignment="1">
      <alignment/>
    </xf>
    <xf numFmtId="0" fontId="17" fillId="2" borderId="2" xfId="0" applyFont="1" applyFill="1" applyBorder="1" applyAlignment="1">
      <alignment/>
    </xf>
    <xf numFmtId="3" fontId="5" fillId="0" borderId="53" xfId="0" applyNumberFormat="1" applyFont="1" applyBorder="1" applyAlignment="1">
      <alignment/>
    </xf>
    <xf numFmtId="165" fontId="5" fillId="0" borderId="58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165" fontId="3" fillId="0" borderId="0" xfId="0" applyNumberFormat="1" applyFont="1" applyBorder="1" applyAlignment="1">
      <alignment/>
    </xf>
    <xf numFmtId="0" fontId="9" fillId="0" borderId="54" xfId="0" applyFont="1" applyBorder="1" applyAlignment="1">
      <alignment/>
    </xf>
    <xf numFmtId="3" fontId="3" fillId="0" borderId="40" xfId="0" applyNumberFormat="1" applyFont="1" applyBorder="1" applyAlignment="1">
      <alignment/>
    </xf>
    <xf numFmtId="3" fontId="18" fillId="0" borderId="0" xfId="0" applyNumberFormat="1" applyFont="1" applyFill="1" applyBorder="1" applyAlignment="1">
      <alignment/>
    </xf>
    <xf numFmtId="165" fontId="7" fillId="0" borderId="0" xfId="0" applyNumberFormat="1" applyFont="1" applyBorder="1" applyAlignment="1">
      <alignment/>
    </xf>
    <xf numFmtId="0" fontId="9" fillId="0" borderId="51" xfId="0" applyFont="1" applyBorder="1" applyAlignment="1">
      <alignment/>
    </xf>
    <xf numFmtId="0" fontId="18" fillId="0" borderId="51" xfId="0" applyFont="1" applyBorder="1" applyAlignment="1">
      <alignment/>
    </xf>
    <xf numFmtId="3" fontId="18" fillId="0" borderId="40" xfId="0" applyNumberFormat="1" applyFont="1" applyBorder="1" applyAlignment="1">
      <alignment/>
    </xf>
    <xf numFmtId="165" fontId="18" fillId="0" borderId="58" xfId="0" applyNumberFormat="1" applyFont="1" applyBorder="1" applyAlignment="1">
      <alignment/>
    </xf>
    <xf numFmtId="165" fontId="0" fillId="0" borderId="11" xfId="0" applyNumberFormat="1" applyFont="1" applyBorder="1" applyAlignment="1">
      <alignment/>
    </xf>
    <xf numFmtId="3" fontId="0" fillId="0" borderId="0" xfId="0" applyNumberFormat="1" applyAlignment="1">
      <alignment horizontal="center"/>
    </xf>
    <xf numFmtId="3" fontId="3" fillId="0" borderId="13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3" fillId="0" borderId="54" xfId="0" applyFont="1" applyBorder="1" applyAlignment="1">
      <alignment/>
    </xf>
    <xf numFmtId="165" fontId="0" fillId="0" borderId="12" xfId="0" applyNumberFormat="1" applyBorder="1" applyAlignment="1">
      <alignment/>
    </xf>
    <xf numFmtId="0" fontId="7" fillId="0" borderId="9" xfId="0" applyFont="1" applyBorder="1" applyAlignment="1" quotePrefix="1">
      <alignment horizontal="right"/>
    </xf>
    <xf numFmtId="0" fontId="7" fillId="0" borderId="0" xfId="0" applyFont="1" applyBorder="1" applyAlignment="1">
      <alignment horizontal="left"/>
    </xf>
    <xf numFmtId="0" fontId="7" fillId="0" borderId="9" xfId="0" applyFont="1" applyBorder="1" applyAlignment="1">
      <alignment horizontal="right"/>
    </xf>
    <xf numFmtId="0" fontId="18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3" fontId="13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3" fontId="7" fillId="0" borderId="9" xfId="0" applyNumberFormat="1" applyFont="1" applyBorder="1" applyAlignment="1">
      <alignment horizontal="right"/>
    </xf>
    <xf numFmtId="3" fontId="7" fillId="0" borderId="0" xfId="0" applyNumberFormat="1" applyFont="1" applyAlignment="1">
      <alignment horizontal="right"/>
    </xf>
    <xf numFmtId="165" fontId="7" fillId="0" borderId="58" xfId="0" applyNumberFormat="1" applyFont="1" applyBorder="1" applyAlignment="1">
      <alignment horizontal="right"/>
    </xf>
    <xf numFmtId="0" fontId="7" fillId="0" borderId="58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3" fontId="8" fillId="0" borderId="11" xfId="0" applyNumberFormat="1" applyFont="1" applyBorder="1" applyAlignment="1">
      <alignment/>
    </xf>
    <xf numFmtId="3" fontId="18" fillId="0" borderId="0" xfId="0" applyNumberFormat="1" applyFont="1" applyAlignment="1">
      <alignment/>
    </xf>
    <xf numFmtId="0" fontId="3" fillId="0" borderId="2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21" xfId="0" applyBorder="1" applyAlignment="1">
      <alignment horizontal="center"/>
    </xf>
    <xf numFmtId="3" fontId="3" fillId="0" borderId="21" xfId="0" applyNumberFormat="1" applyFont="1" applyBorder="1" applyAlignment="1">
      <alignment horizontal="center"/>
    </xf>
    <xf numFmtId="3" fontId="0" fillId="0" borderId="5" xfId="0" applyNumberFormat="1" applyBorder="1" applyAlignment="1">
      <alignment/>
    </xf>
    <xf numFmtId="0" fontId="3" fillId="0" borderId="5" xfId="0" applyFont="1" applyBorder="1" applyAlignment="1">
      <alignment horizontal="center"/>
    </xf>
    <xf numFmtId="3" fontId="0" fillId="0" borderId="62" xfId="0" applyNumberFormat="1" applyBorder="1" applyAlignment="1">
      <alignment/>
    </xf>
    <xf numFmtId="165" fontId="7" fillId="0" borderId="60" xfId="0" applyNumberFormat="1" applyFont="1" applyBorder="1" applyAlignment="1">
      <alignment/>
    </xf>
    <xf numFmtId="0" fontId="9" fillId="0" borderId="0" xfId="0" applyFont="1" applyAlignment="1">
      <alignment/>
    </xf>
    <xf numFmtId="3" fontId="0" fillId="0" borderId="40" xfId="0" applyNumberFormat="1" applyFill="1" applyBorder="1" applyAlignment="1">
      <alignment/>
    </xf>
    <xf numFmtId="165" fontId="2" fillId="2" borderId="21" xfId="0" applyNumberFormat="1" applyFont="1" applyFill="1" applyBorder="1" applyAlignment="1">
      <alignment/>
    </xf>
    <xf numFmtId="3" fontId="9" fillId="0" borderId="8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0" fontId="9" fillId="0" borderId="8" xfId="0" applyFont="1" applyBorder="1" applyAlignment="1">
      <alignment/>
    </xf>
    <xf numFmtId="0" fontId="9" fillId="0" borderId="13" xfId="0" applyFont="1" applyBorder="1" applyAlignment="1">
      <alignment/>
    </xf>
    <xf numFmtId="165" fontId="8" fillId="0" borderId="60" xfId="0" applyNumberFormat="1" applyFont="1" applyBorder="1" applyAlignment="1">
      <alignment/>
    </xf>
    <xf numFmtId="3" fontId="8" fillId="0" borderId="30" xfId="0" applyNumberFormat="1" applyFont="1" applyBorder="1" applyAlignment="1">
      <alignment/>
    </xf>
    <xf numFmtId="0" fontId="8" fillId="0" borderId="60" xfId="0" applyFont="1" applyBorder="1" applyAlignment="1">
      <alignment/>
    </xf>
    <xf numFmtId="0" fontId="9" fillId="0" borderId="7" xfId="0" applyFont="1" applyBorder="1" applyAlignment="1" quotePrefix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9" fillId="0" borderId="9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0" fontId="23" fillId="0" borderId="9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3" fontId="9" fillId="0" borderId="9" xfId="0" applyNumberFormat="1" applyFont="1" applyFill="1" applyBorder="1" applyAlignment="1">
      <alignment/>
    </xf>
    <xf numFmtId="0" fontId="0" fillId="0" borderId="7" xfId="0" applyFont="1" applyFill="1" applyBorder="1" applyAlignment="1" quotePrefix="1">
      <alignment/>
    </xf>
    <xf numFmtId="0" fontId="9" fillId="0" borderId="51" xfId="0" applyFont="1" applyBorder="1" applyAlignment="1" quotePrefix="1">
      <alignment/>
    </xf>
    <xf numFmtId="0" fontId="9" fillId="0" borderId="55" xfId="0" applyFont="1" applyBorder="1" applyAlignment="1">
      <alignment/>
    </xf>
    <xf numFmtId="3" fontId="8" fillId="0" borderId="54" xfId="0" applyNumberFormat="1" applyFont="1" applyBorder="1" applyAlignment="1">
      <alignment/>
    </xf>
    <xf numFmtId="0" fontId="18" fillId="0" borderId="58" xfId="0" applyFont="1" applyBorder="1" applyAlignment="1">
      <alignment/>
    </xf>
    <xf numFmtId="0" fontId="3" fillId="0" borderId="60" xfId="0" applyFont="1" applyBorder="1" applyAlignment="1">
      <alignment/>
    </xf>
    <xf numFmtId="165" fontId="4" fillId="2" borderId="57" xfId="0" applyNumberFormat="1" applyFont="1" applyFill="1" applyBorder="1" applyAlignment="1">
      <alignment/>
    </xf>
    <xf numFmtId="3" fontId="4" fillId="3" borderId="7" xfId="0" applyNumberFormat="1" applyFont="1" applyFill="1" applyBorder="1" applyAlignment="1">
      <alignment horizontal="right"/>
    </xf>
    <xf numFmtId="3" fontId="0" fillId="0" borderId="63" xfId="0" applyNumberFormat="1" applyBorder="1" applyAlignment="1">
      <alignment/>
    </xf>
    <xf numFmtId="3" fontId="0" fillId="0" borderId="64" xfId="0" applyNumberFormat="1" applyBorder="1" applyAlignment="1">
      <alignment/>
    </xf>
    <xf numFmtId="3" fontId="0" fillId="0" borderId="65" xfId="0" applyNumberFormat="1" applyBorder="1" applyAlignment="1">
      <alignment/>
    </xf>
    <xf numFmtId="3" fontId="0" fillId="0" borderId="66" xfId="0" applyNumberFormat="1" applyBorder="1" applyAlignment="1">
      <alignment/>
    </xf>
    <xf numFmtId="0" fontId="6" fillId="0" borderId="19" xfId="0" applyFont="1" applyBorder="1" applyAlignment="1">
      <alignment/>
    </xf>
    <xf numFmtId="3" fontId="0" fillId="0" borderId="21" xfId="0" applyNumberFormat="1" applyBorder="1" applyAlignment="1">
      <alignment/>
    </xf>
    <xf numFmtId="165" fontId="0" fillId="0" borderId="3" xfId="0" applyNumberFormat="1" applyBorder="1" applyAlignment="1">
      <alignment/>
    </xf>
    <xf numFmtId="165" fontId="7" fillId="0" borderId="3" xfId="0" applyNumberFormat="1" applyFont="1" applyBorder="1" applyAlignment="1">
      <alignment/>
    </xf>
    <xf numFmtId="165" fontId="3" fillId="0" borderId="8" xfId="0" applyNumberFormat="1" applyFont="1" applyBorder="1" applyAlignment="1">
      <alignment/>
    </xf>
    <xf numFmtId="165" fontId="4" fillId="0" borderId="3" xfId="0" applyNumberFormat="1" applyFont="1" applyBorder="1" applyAlignment="1">
      <alignment/>
    </xf>
    <xf numFmtId="165" fontId="4" fillId="0" borderId="9" xfId="0" applyNumberFormat="1" applyFont="1" applyBorder="1" applyAlignment="1">
      <alignment/>
    </xf>
    <xf numFmtId="165" fontId="5" fillId="0" borderId="9" xfId="0" applyNumberFormat="1" applyFont="1" applyBorder="1" applyAlignment="1">
      <alignment/>
    </xf>
    <xf numFmtId="3" fontId="0" fillId="0" borderId="67" xfId="0" applyNumberFormat="1" applyBorder="1" applyAlignment="1">
      <alignment/>
    </xf>
    <xf numFmtId="3" fontId="0" fillId="0" borderId="54" xfId="0" applyNumberFormat="1" applyBorder="1" applyAlignment="1">
      <alignment/>
    </xf>
    <xf numFmtId="0" fontId="0" fillId="0" borderId="61" xfId="0" applyBorder="1" applyAlignment="1">
      <alignment/>
    </xf>
    <xf numFmtId="3" fontId="3" fillId="0" borderId="8" xfId="0" applyNumberFormat="1" applyFont="1" applyBorder="1" applyAlignment="1">
      <alignment/>
    </xf>
    <xf numFmtId="3" fontId="18" fillId="0" borderId="8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2" fillId="0" borderId="9" xfId="0" applyFont="1" applyBorder="1" applyAlignment="1">
      <alignment/>
    </xf>
    <xf numFmtId="0" fontId="18" fillId="0" borderId="0" xfId="0" applyFont="1" applyFill="1" applyBorder="1" applyAlignment="1">
      <alignment/>
    </xf>
    <xf numFmtId="3" fontId="18" fillId="0" borderId="9" xfId="0" applyNumberFormat="1" applyFont="1" applyBorder="1" applyAlignment="1">
      <alignment/>
    </xf>
    <xf numFmtId="3" fontId="18" fillId="0" borderId="0" xfId="0" applyNumberFormat="1" applyFont="1" applyBorder="1" applyAlignment="1">
      <alignment/>
    </xf>
    <xf numFmtId="0" fontId="0" fillId="0" borderId="30" xfId="0" applyFont="1" applyBorder="1" applyAlignment="1">
      <alignment/>
    </xf>
    <xf numFmtId="165" fontId="0" fillId="0" borderId="11" xfId="0" applyNumberFormat="1" applyBorder="1" applyAlignment="1">
      <alignment/>
    </xf>
    <xf numFmtId="0" fontId="6" fillId="0" borderId="40" xfId="0" applyFont="1" applyBorder="1" applyAlignment="1">
      <alignment/>
    </xf>
    <xf numFmtId="0" fontId="0" fillId="3" borderId="0" xfId="0" applyFont="1" applyFill="1" applyAlignment="1">
      <alignment/>
    </xf>
    <xf numFmtId="165" fontId="0" fillId="0" borderId="0" xfId="0" applyNumberFormat="1" applyFont="1" applyAlignment="1">
      <alignment/>
    </xf>
    <xf numFmtId="0" fontId="0" fillId="0" borderId="5" xfId="0" applyFont="1" applyBorder="1" applyAlignment="1">
      <alignment horizontal="center" vertical="center" wrapText="1" shrinkToFit="1"/>
    </xf>
    <xf numFmtId="0" fontId="0" fillId="0" borderId="5" xfId="0" applyFont="1" applyBorder="1" applyAlignment="1">
      <alignment horizontal="center" wrapText="1" shrinkToFit="1"/>
    </xf>
    <xf numFmtId="0" fontId="0" fillId="0" borderId="6" xfId="0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0" fontId="6" fillId="0" borderId="21" xfId="0" applyFont="1" applyBorder="1" applyAlignment="1">
      <alignment/>
    </xf>
    <xf numFmtId="3" fontId="6" fillId="0" borderId="13" xfId="0" applyNumberFormat="1" applyFont="1" applyBorder="1" applyAlignment="1">
      <alignment/>
    </xf>
    <xf numFmtId="3" fontId="0" fillId="0" borderId="53" xfId="0" applyNumberFormat="1" applyFill="1" applyBorder="1" applyAlignment="1">
      <alignment/>
    </xf>
    <xf numFmtId="0" fontId="6" fillId="3" borderId="7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3" fontId="6" fillId="3" borderId="9" xfId="0" applyNumberFormat="1" applyFont="1" applyFill="1" applyBorder="1" applyAlignment="1">
      <alignment/>
    </xf>
    <xf numFmtId="3" fontId="6" fillId="3" borderId="8" xfId="0" applyNumberFormat="1" applyFont="1" applyFill="1" applyBorder="1" applyAlignment="1">
      <alignment/>
    </xf>
    <xf numFmtId="3" fontId="6" fillId="3" borderId="7" xfId="0" applyNumberFormat="1" applyFont="1" applyFill="1" applyBorder="1" applyAlignment="1">
      <alignment/>
    </xf>
    <xf numFmtId="165" fontId="6" fillId="3" borderId="8" xfId="0" applyNumberFormat="1" applyFont="1" applyFill="1" applyBorder="1" applyAlignment="1">
      <alignment/>
    </xf>
    <xf numFmtId="3" fontId="6" fillId="3" borderId="0" xfId="0" applyNumberFormat="1" applyFont="1" applyFill="1" applyBorder="1" applyAlignment="1">
      <alignment/>
    </xf>
    <xf numFmtId="3" fontId="6" fillId="2" borderId="1" xfId="0" applyNumberFormat="1" applyFont="1" applyFill="1" applyBorder="1" applyAlignment="1">
      <alignment/>
    </xf>
    <xf numFmtId="3" fontId="6" fillId="2" borderId="21" xfId="0" applyNumberFormat="1" applyFont="1" applyFill="1" applyBorder="1" applyAlignment="1">
      <alignment/>
    </xf>
    <xf numFmtId="0" fontId="6" fillId="2" borderId="19" xfId="0" applyFont="1" applyFill="1" applyBorder="1" applyAlignment="1">
      <alignment/>
    </xf>
    <xf numFmtId="0" fontId="6" fillId="2" borderId="5" xfId="0" applyFont="1" applyFill="1" applyBorder="1" applyAlignment="1" quotePrefix="1">
      <alignment/>
    </xf>
    <xf numFmtId="0" fontId="6" fillId="2" borderId="5" xfId="0" applyFont="1" applyFill="1" applyBorder="1" applyAlignment="1">
      <alignment/>
    </xf>
    <xf numFmtId="3" fontId="11" fillId="2" borderId="21" xfId="0" applyNumberFormat="1" applyFont="1" applyFill="1" applyBorder="1" applyAlignment="1">
      <alignment/>
    </xf>
    <xf numFmtId="3" fontId="6" fillId="2" borderId="6" xfId="0" applyNumberFormat="1" applyFont="1" applyFill="1" applyBorder="1" applyAlignment="1">
      <alignment/>
    </xf>
    <xf numFmtId="165" fontId="6" fillId="2" borderId="57" xfId="0" applyNumberFormat="1" applyFont="1" applyFill="1" applyBorder="1" applyAlignment="1">
      <alignment/>
    </xf>
    <xf numFmtId="165" fontId="6" fillId="2" borderId="21" xfId="0" applyNumberFormat="1" applyFont="1" applyFill="1" applyBorder="1" applyAlignment="1">
      <alignment/>
    </xf>
    <xf numFmtId="165" fontId="0" fillId="0" borderId="3" xfId="0" applyNumberFormat="1" applyFont="1" applyBorder="1" applyAlignment="1">
      <alignment/>
    </xf>
    <xf numFmtId="3" fontId="3" fillId="0" borderId="7" xfId="0" applyNumberFormat="1" applyFont="1" applyBorder="1" applyAlignment="1">
      <alignment/>
    </xf>
    <xf numFmtId="165" fontId="6" fillId="0" borderId="0" xfId="0" applyNumberFormat="1" applyFont="1" applyAlignment="1">
      <alignment/>
    </xf>
    <xf numFmtId="165" fontId="8" fillId="0" borderId="0" xfId="0" applyNumberFormat="1" applyFont="1" applyAlignment="1">
      <alignment/>
    </xf>
    <xf numFmtId="3" fontId="8" fillId="0" borderId="10" xfId="0" applyNumberFormat="1" applyFont="1" applyBorder="1" applyAlignment="1">
      <alignment/>
    </xf>
    <xf numFmtId="3" fontId="3" fillId="0" borderId="5" xfId="0" applyNumberFormat="1" applyFont="1" applyBorder="1" applyAlignment="1">
      <alignment/>
    </xf>
    <xf numFmtId="3" fontId="3" fillId="0" borderId="6" xfId="0" applyNumberFormat="1" applyFont="1" applyBorder="1" applyAlignment="1">
      <alignment/>
    </xf>
    <xf numFmtId="0" fontId="6" fillId="3" borderId="9" xfId="0" applyFont="1" applyFill="1" applyBorder="1" applyAlignment="1">
      <alignment/>
    </xf>
    <xf numFmtId="0" fontId="0" fillId="2" borderId="8" xfId="0" applyFill="1" applyBorder="1" applyAlignment="1">
      <alignment/>
    </xf>
    <xf numFmtId="3" fontId="6" fillId="2" borderId="40" xfId="0" applyNumberFormat="1" applyFont="1" applyFill="1" applyBorder="1" applyAlignment="1">
      <alignment/>
    </xf>
    <xf numFmtId="3" fontId="6" fillId="0" borderId="40" xfId="0" applyNumberFormat="1" applyFont="1" applyFill="1" applyBorder="1" applyAlignment="1">
      <alignment/>
    </xf>
    <xf numFmtId="3" fontId="7" fillId="0" borderId="7" xfId="0" applyNumberFormat="1" applyFont="1" applyBorder="1" applyAlignment="1">
      <alignment horizontal="right"/>
    </xf>
    <xf numFmtId="165" fontId="6" fillId="2" borderId="19" xfId="0" applyNumberFormat="1" applyFont="1" applyFill="1" applyBorder="1" applyAlignment="1">
      <alignment/>
    </xf>
    <xf numFmtId="165" fontId="2" fillId="2" borderId="19" xfId="0" applyNumberFormat="1" applyFont="1" applyFill="1" applyBorder="1" applyAlignment="1">
      <alignment/>
    </xf>
    <xf numFmtId="3" fontId="2" fillId="2" borderId="41" xfId="0" applyNumberFormat="1" applyFont="1" applyFill="1" applyBorder="1" applyAlignment="1">
      <alignment/>
    </xf>
    <xf numFmtId="0" fontId="0" fillId="0" borderId="4" xfId="0" applyBorder="1" applyAlignment="1" quotePrefix="1">
      <alignment/>
    </xf>
    <xf numFmtId="0" fontId="2" fillId="2" borderId="21" xfId="0" applyFont="1" applyFill="1" applyBorder="1" applyAlignment="1">
      <alignment/>
    </xf>
    <xf numFmtId="3" fontId="0" fillId="0" borderId="0" xfId="0" applyNumberForma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14" fontId="0" fillId="0" borderId="0" xfId="0" applyNumberFormat="1" applyBorder="1" applyAlignment="1">
      <alignment horizontal="center"/>
    </xf>
    <xf numFmtId="14" fontId="0" fillId="0" borderId="0" xfId="0" applyNumberFormat="1" applyBorder="1" applyAlignment="1">
      <alignment/>
    </xf>
    <xf numFmtId="14" fontId="0" fillId="0" borderId="0" xfId="0" applyNumberFormat="1" applyFont="1" applyBorder="1" applyAlignment="1" quotePrefix="1">
      <alignment horizontal="center"/>
    </xf>
    <xf numFmtId="165" fontId="4" fillId="2" borderId="0" xfId="0" applyNumberFormat="1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3" fontId="4" fillId="3" borderId="0" xfId="0" applyNumberFormat="1" applyFont="1" applyFill="1" applyBorder="1" applyAlignment="1">
      <alignment/>
    </xf>
    <xf numFmtId="165" fontId="2" fillId="0" borderId="58" xfId="0" applyNumberFormat="1" applyFont="1" applyBorder="1" applyAlignment="1">
      <alignment/>
    </xf>
    <xf numFmtId="0" fontId="10" fillId="3" borderId="4" xfId="0" applyFont="1" applyFill="1" applyBorder="1" applyAlignment="1">
      <alignment/>
    </xf>
    <xf numFmtId="0" fontId="10" fillId="3" borderId="3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3" fontId="2" fillId="3" borderId="2" xfId="0" applyNumberFormat="1" applyFont="1" applyFill="1" applyBorder="1" applyAlignment="1">
      <alignment/>
    </xf>
    <xf numFmtId="165" fontId="2" fillId="3" borderId="2" xfId="0" applyNumberFormat="1" applyFont="1" applyFill="1" applyBorder="1" applyAlignment="1">
      <alignment/>
    </xf>
    <xf numFmtId="3" fontId="2" fillId="3" borderId="1" xfId="0" applyNumberFormat="1" applyFont="1" applyFill="1" applyBorder="1" applyAlignment="1">
      <alignment/>
    </xf>
    <xf numFmtId="165" fontId="2" fillId="3" borderId="3" xfId="0" applyNumberFormat="1" applyFont="1" applyFill="1" applyBorder="1" applyAlignment="1">
      <alignment/>
    </xf>
    <xf numFmtId="3" fontId="2" fillId="3" borderId="4" xfId="0" applyNumberFormat="1" applyFont="1" applyFill="1" applyBorder="1" applyAlignment="1">
      <alignment/>
    </xf>
    <xf numFmtId="165" fontId="2" fillId="3" borderId="59" xfId="0" applyNumberFormat="1" applyFont="1" applyFill="1" applyBorder="1" applyAlignment="1">
      <alignment/>
    </xf>
    <xf numFmtId="3" fontId="0" fillId="0" borderId="8" xfId="0" applyNumberFormat="1" applyFont="1" applyFill="1" applyBorder="1" applyAlignment="1">
      <alignment/>
    </xf>
    <xf numFmtId="3" fontId="2" fillId="0" borderId="9" xfId="0" applyNumberFormat="1" applyFont="1" applyBorder="1" applyAlignment="1">
      <alignment/>
    </xf>
    <xf numFmtId="0" fontId="10" fillId="0" borderId="0" xfId="0" applyFont="1" applyAlignment="1">
      <alignment/>
    </xf>
    <xf numFmtId="0" fontId="2" fillId="0" borderId="8" xfId="0" applyFont="1" applyFill="1" applyBorder="1" applyAlignment="1">
      <alignment/>
    </xf>
    <xf numFmtId="165" fontId="2" fillId="0" borderId="0" xfId="0" applyNumberFormat="1" applyFont="1" applyBorder="1" applyAlignment="1">
      <alignment/>
    </xf>
    <xf numFmtId="0" fontId="2" fillId="0" borderId="9" xfId="0" applyFont="1" applyBorder="1" applyAlignment="1">
      <alignment/>
    </xf>
    <xf numFmtId="3" fontId="10" fillId="0" borderId="0" xfId="0" applyNumberFormat="1" applyFont="1" applyAlignment="1">
      <alignment/>
    </xf>
    <xf numFmtId="3" fontId="2" fillId="0" borderId="2" xfId="0" applyNumberFormat="1" applyFont="1" applyFill="1" applyBorder="1" applyAlignment="1">
      <alignment/>
    </xf>
    <xf numFmtId="3" fontId="2" fillId="0" borderId="2" xfId="0" applyNumberFormat="1" applyFont="1" applyBorder="1" applyAlignment="1">
      <alignment/>
    </xf>
    <xf numFmtId="165" fontId="2" fillId="0" borderId="2" xfId="0" applyNumberFormat="1" applyFont="1" applyBorder="1" applyAlignment="1">
      <alignment/>
    </xf>
    <xf numFmtId="0" fontId="0" fillId="0" borderId="1" xfId="0" applyBorder="1" applyAlignment="1" quotePrefix="1">
      <alignment/>
    </xf>
    <xf numFmtId="3" fontId="10" fillId="2" borderId="41" xfId="0" applyNumberFormat="1" applyFont="1" applyFill="1" applyBorder="1" applyAlignment="1">
      <alignment/>
    </xf>
    <xf numFmtId="3" fontId="10" fillId="2" borderId="68" xfId="0" applyNumberFormat="1" applyFont="1" applyFill="1" applyBorder="1" applyAlignment="1">
      <alignment/>
    </xf>
    <xf numFmtId="3" fontId="10" fillId="2" borderId="69" xfId="0" applyNumberFormat="1" applyFont="1" applyFill="1" applyBorder="1" applyAlignment="1">
      <alignment/>
    </xf>
    <xf numFmtId="3" fontId="10" fillId="2" borderId="6" xfId="0" applyNumberFormat="1" applyFont="1" applyFill="1" applyBorder="1" applyAlignment="1">
      <alignment/>
    </xf>
    <xf numFmtId="0" fontId="2" fillId="2" borderId="57" xfId="0" applyFont="1" applyFill="1" applyBorder="1" applyAlignment="1">
      <alignment/>
    </xf>
    <xf numFmtId="0" fontId="10" fillId="2" borderId="0" xfId="0" applyFont="1" applyFill="1" applyAlignment="1">
      <alignment/>
    </xf>
    <xf numFmtId="0" fontId="10" fillId="0" borderId="1" xfId="0" applyFont="1" applyFill="1" applyBorder="1" applyAlignment="1">
      <alignment/>
    </xf>
    <xf numFmtId="0" fontId="10" fillId="3" borderId="0" xfId="0" applyFont="1" applyFill="1" applyAlignment="1">
      <alignment/>
    </xf>
    <xf numFmtId="3" fontId="2" fillId="0" borderId="8" xfId="0" applyNumberFormat="1" applyFont="1" applyFill="1" applyBorder="1" applyAlignment="1">
      <alignment/>
    </xf>
    <xf numFmtId="165" fontId="10" fillId="0" borderId="0" xfId="0" applyNumberFormat="1" applyFont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165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3" fontId="2" fillId="0" borderId="4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0" fontId="6" fillId="2" borderId="21" xfId="0" applyFont="1" applyFill="1" applyBorder="1" applyAlignment="1">
      <alignment/>
    </xf>
    <xf numFmtId="3" fontId="10" fillId="3" borderId="0" xfId="0" applyNumberFormat="1" applyFont="1" applyFill="1" applyAlignment="1">
      <alignment/>
    </xf>
    <xf numFmtId="3" fontId="5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3" fontId="0" fillId="0" borderId="59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60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3" borderId="0" xfId="0" applyNumberFormat="1" applyFont="1" applyFill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Z187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9.375" style="0" customWidth="1"/>
    <col min="2" max="2" width="9.25390625" style="0" bestFit="1" customWidth="1"/>
    <col min="6" max="6" width="16.25390625" style="0" customWidth="1"/>
    <col min="7" max="11" width="0" style="0" hidden="1" customWidth="1"/>
    <col min="12" max="12" width="12.25390625" style="31" customWidth="1"/>
    <col min="13" max="13" width="10.375" style="31" hidden="1" customWidth="1"/>
    <col min="14" max="14" width="9.25390625" style="420" hidden="1" customWidth="1"/>
    <col min="15" max="15" width="10.00390625" style="31" hidden="1" customWidth="1"/>
    <col min="16" max="16" width="9.125" style="0" hidden="1" customWidth="1"/>
    <col min="17" max="17" width="10.25390625" style="31" hidden="1" customWidth="1"/>
    <col min="18" max="18" width="8.125" style="0" hidden="1" customWidth="1"/>
    <col min="19" max="19" width="10.25390625" style="31" customWidth="1"/>
    <col min="21" max="22" width="0" style="31" hidden="1" customWidth="1"/>
  </cols>
  <sheetData>
    <row r="1" spans="1:19" ht="12.75">
      <c r="A1" s="130" t="s">
        <v>22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389"/>
      <c r="M1" s="389"/>
      <c r="N1" s="681"/>
      <c r="O1" s="389"/>
      <c r="P1" s="131"/>
      <c r="Q1" s="389"/>
      <c r="R1" s="131"/>
      <c r="S1" s="389"/>
    </row>
    <row r="2" spans="1:19" ht="12.75">
      <c r="A2" s="109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389"/>
      <c r="M2" s="389"/>
      <c r="N2" s="681"/>
      <c r="O2" s="389"/>
      <c r="P2" s="131"/>
      <c r="Q2" s="389"/>
      <c r="R2" s="131"/>
      <c r="S2" s="389"/>
    </row>
    <row r="3" spans="1:19" ht="13.5" thickBot="1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389"/>
      <c r="M3" s="389"/>
      <c r="N3" s="681"/>
      <c r="O3" s="389"/>
      <c r="P3" s="131"/>
      <c r="Q3" s="389"/>
      <c r="R3" s="131"/>
      <c r="S3" s="389"/>
    </row>
    <row r="4" spans="1:19" ht="115.5" thickBot="1">
      <c r="A4" s="167"/>
      <c r="B4" s="168"/>
      <c r="C4" s="168"/>
      <c r="D4" s="168"/>
      <c r="E4" s="168"/>
      <c r="F4" s="380"/>
      <c r="G4" s="566" t="s">
        <v>23</v>
      </c>
      <c r="H4" s="682"/>
      <c r="I4" s="683" t="s">
        <v>24</v>
      </c>
      <c r="J4" s="470"/>
      <c r="K4" s="684" t="s">
        <v>25</v>
      </c>
      <c r="L4" s="685" t="s">
        <v>645</v>
      </c>
      <c r="M4" s="522" t="s">
        <v>296</v>
      </c>
      <c r="N4" s="518" t="s">
        <v>681</v>
      </c>
      <c r="O4" s="522" t="s">
        <v>296</v>
      </c>
      <c r="P4" s="518" t="s">
        <v>681</v>
      </c>
      <c r="Q4" s="522" t="s">
        <v>296</v>
      </c>
      <c r="R4" s="518" t="s">
        <v>681</v>
      </c>
      <c r="S4" s="389"/>
    </row>
    <row r="5" spans="1:19" ht="13.5" thickBot="1">
      <c r="A5" s="23"/>
      <c r="B5" s="24"/>
      <c r="C5" s="24"/>
      <c r="D5" s="24"/>
      <c r="E5" s="24"/>
      <c r="F5" s="58"/>
      <c r="G5" s="71" t="s">
        <v>26</v>
      </c>
      <c r="H5" s="686" t="s">
        <v>27</v>
      </c>
      <c r="I5" s="687" t="s">
        <v>28</v>
      </c>
      <c r="J5" s="17" t="s">
        <v>29</v>
      </c>
      <c r="K5" s="687" t="s">
        <v>30</v>
      </c>
      <c r="L5" s="688"/>
      <c r="M5" s="206" t="s">
        <v>297</v>
      </c>
      <c r="N5" s="519"/>
      <c r="O5" s="206" t="s">
        <v>750</v>
      </c>
      <c r="P5" s="519"/>
      <c r="Q5" s="206" t="s">
        <v>896</v>
      </c>
      <c r="R5" s="519"/>
      <c r="S5" s="389"/>
    </row>
    <row r="6" spans="1:19" ht="12.75">
      <c r="A6" s="167" t="s">
        <v>33</v>
      </c>
      <c r="B6" s="168"/>
      <c r="C6" s="168"/>
      <c r="D6" s="168"/>
      <c r="E6" s="168"/>
      <c r="F6" s="168"/>
      <c r="G6" s="522">
        <v>461127</v>
      </c>
      <c r="H6" s="521">
        <f>H155-H169</f>
        <v>462627</v>
      </c>
      <c r="I6" s="521">
        <f>I155-I169</f>
        <v>490846</v>
      </c>
      <c r="J6" s="521">
        <f>J155-J169</f>
        <v>277000</v>
      </c>
      <c r="K6" s="521">
        <f>K155-K169</f>
        <v>516594</v>
      </c>
      <c r="L6" s="521">
        <f>L155-L169</f>
        <v>796346</v>
      </c>
      <c r="M6" s="489"/>
      <c r="N6" s="527"/>
      <c r="O6" s="489"/>
      <c r="P6" s="168"/>
      <c r="Q6" s="521">
        <v>289028</v>
      </c>
      <c r="R6" s="566">
        <v>52.8</v>
      </c>
      <c r="S6" s="389"/>
    </row>
    <row r="7" spans="1:19" ht="12.75">
      <c r="A7" s="23" t="s">
        <v>34</v>
      </c>
      <c r="B7" s="24"/>
      <c r="C7" s="24"/>
      <c r="D7" s="24"/>
      <c r="E7" s="131"/>
      <c r="F7" s="131"/>
      <c r="G7" s="206">
        <v>54973</v>
      </c>
      <c r="H7" s="92">
        <f>H169</f>
        <v>73268</v>
      </c>
      <c r="I7" s="92">
        <f>I169</f>
        <v>82282</v>
      </c>
      <c r="J7" s="92">
        <f>J169</f>
        <v>7591</v>
      </c>
      <c r="K7" s="92">
        <f>K169</f>
        <v>77827</v>
      </c>
      <c r="L7" s="92">
        <f>L169</f>
        <v>365927</v>
      </c>
      <c r="M7" s="389"/>
      <c r="N7" s="681"/>
      <c r="O7" s="389"/>
      <c r="P7" s="131"/>
      <c r="Q7" s="92">
        <v>188142</v>
      </c>
      <c r="R7" s="71">
        <v>51.4</v>
      </c>
      <c r="S7" s="389"/>
    </row>
    <row r="8" spans="1:19" ht="13.5" thickBot="1">
      <c r="A8" s="23" t="s">
        <v>35</v>
      </c>
      <c r="B8" s="24"/>
      <c r="C8" s="24"/>
      <c r="D8" s="24"/>
      <c r="E8" s="131"/>
      <c r="F8" s="131"/>
      <c r="G8" s="206">
        <v>278716</v>
      </c>
      <c r="H8" s="250">
        <f>H187</f>
        <v>80876</v>
      </c>
      <c r="I8" s="250">
        <f>I187</f>
        <v>151701</v>
      </c>
      <c r="J8" s="250">
        <f>J187</f>
        <v>65541</v>
      </c>
      <c r="K8" s="250">
        <f>K187</f>
        <v>162093</v>
      </c>
      <c r="L8" s="250">
        <f>L187</f>
        <v>249067</v>
      </c>
      <c r="M8" s="389"/>
      <c r="N8" s="681"/>
      <c r="O8" s="389"/>
      <c r="P8" s="131"/>
      <c r="Q8" s="92">
        <v>12137</v>
      </c>
      <c r="R8" s="71">
        <v>4.9</v>
      </c>
      <c r="S8" s="389"/>
    </row>
    <row r="9" spans="1:19" ht="13.5" thickBot="1">
      <c r="A9" s="577" t="s">
        <v>36</v>
      </c>
      <c r="B9" s="470"/>
      <c r="C9" s="470"/>
      <c r="D9" s="470"/>
      <c r="E9" s="470"/>
      <c r="F9" s="470"/>
      <c r="G9" s="579">
        <f aca="true" t="shared" si="0" ref="G9:L9">SUM(G6:G8)</f>
        <v>794816</v>
      </c>
      <c r="H9" s="579">
        <f t="shared" si="0"/>
        <v>616771</v>
      </c>
      <c r="I9" s="579">
        <f t="shared" si="0"/>
        <v>724829</v>
      </c>
      <c r="J9" s="579">
        <f t="shared" si="0"/>
        <v>350132</v>
      </c>
      <c r="K9" s="579">
        <f t="shared" si="0"/>
        <v>756514</v>
      </c>
      <c r="L9" s="579">
        <f t="shared" si="0"/>
        <v>1411340</v>
      </c>
      <c r="M9" s="389"/>
      <c r="N9" s="681"/>
      <c r="O9" s="389"/>
      <c r="P9" s="131"/>
      <c r="Q9" s="579">
        <v>489307</v>
      </c>
      <c r="R9" s="689">
        <v>42.1</v>
      </c>
      <c r="S9" s="389"/>
    </row>
    <row r="10" spans="1:19" ht="12.75">
      <c r="A10" s="23" t="s">
        <v>37</v>
      </c>
      <c r="B10" s="24"/>
      <c r="C10" s="24"/>
      <c r="D10" s="24"/>
      <c r="E10" s="131"/>
      <c r="F10" s="131"/>
      <c r="G10" s="92">
        <v>460285</v>
      </c>
      <c r="H10" s="92" t="e">
        <f>H231-H256</f>
        <v>#REF!</v>
      </c>
      <c r="I10" s="92" t="e">
        <f>I231-I256</f>
        <v>#REF!</v>
      </c>
      <c r="J10" s="320" t="e">
        <f>J231-J256</f>
        <v>#REF!</v>
      </c>
      <c r="K10" s="521" t="e">
        <f>K231-K256</f>
        <v>#REF!</v>
      </c>
      <c r="L10" s="92">
        <v>537382</v>
      </c>
      <c r="M10" s="389"/>
      <c r="N10" s="681"/>
      <c r="O10" s="389"/>
      <c r="P10" s="131"/>
      <c r="Q10" s="92">
        <v>145788</v>
      </c>
      <c r="R10" s="71">
        <v>27.1</v>
      </c>
      <c r="S10" s="389"/>
    </row>
    <row r="11" spans="1:19" ht="12.75">
      <c r="A11" s="23" t="s">
        <v>38</v>
      </c>
      <c r="B11" s="24"/>
      <c r="C11" s="24"/>
      <c r="D11" s="24"/>
      <c r="E11" s="131"/>
      <c r="F11" s="131"/>
      <c r="G11" s="92">
        <v>231465</v>
      </c>
      <c r="H11" s="92" t="e">
        <f>H256</f>
        <v>#REF!</v>
      </c>
      <c r="I11" s="92" t="e">
        <f>I256</f>
        <v>#REF!</v>
      </c>
      <c r="J11" s="320" t="e">
        <f>J256</f>
        <v>#REF!</v>
      </c>
      <c r="K11" s="92" t="e">
        <f>K256</f>
        <v>#REF!</v>
      </c>
      <c r="L11" s="92">
        <v>496461</v>
      </c>
      <c r="M11" s="389"/>
      <c r="N11" s="681"/>
      <c r="O11" s="389"/>
      <c r="P11" s="131"/>
      <c r="Q11" s="92">
        <v>92574</v>
      </c>
      <c r="R11" s="71">
        <v>18.6</v>
      </c>
      <c r="S11" s="389"/>
    </row>
    <row r="12" spans="1:19" ht="13.5" thickBot="1">
      <c r="A12" s="23" t="s">
        <v>39</v>
      </c>
      <c r="B12" s="24"/>
      <c r="C12" s="24"/>
      <c r="D12" s="24"/>
      <c r="E12" s="131"/>
      <c r="F12" s="131"/>
      <c r="G12" s="71">
        <v>16982</v>
      </c>
      <c r="H12" s="250">
        <f>H269</f>
        <v>18257</v>
      </c>
      <c r="I12" s="250">
        <f>I269</f>
        <v>22358</v>
      </c>
      <c r="J12" s="320">
        <f>J269</f>
        <v>10336</v>
      </c>
      <c r="K12" s="250">
        <f>K269</f>
        <v>22310</v>
      </c>
      <c r="L12" s="92">
        <v>128430</v>
      </c>
      <c r="M12" s="389"/>
      <c r="N12" s="681"/>
      <c r="O12" s="389"/>
      <c r="P12" s="131"/>
      <c r="Q12" s="92">
        <v>8431</v>
      </c>
      <c r="R12" s="71">
        <v>6.5</v>
      </c>
      <c r="S12" s="389"/>
    </row>
    <row r="13" spans="1:19" ht="13.5" thickBot="1">
      <c r="A13" s="577" t="s">
        <v>36</v>
      </c>
      <c r="B13" s="470"/>
      <c r="C13" s="470"/>
      <c r="D13" s="470"/>
      <c r="E13" s="470"/>
      <c r="F13" s="470"/>
      <c r="G13" s="579">
        <f>SUM(G10:G12)</f>
        <v>708732</v>
      </c>
      <c r="H13" s="579" t="e">
        <f>SUM(H10:H12)</f>
        <v>#REF!</v>
      </c>
      <c r="I13" s="579" t="e">
        <f>SUM(I10:I12)</f>
        <v>#REF!</v>
      </c>
      <c r="J13" s="580" t="e">
        <f>SUM(J10:J12)</f>
        <v>#REF!</v>
      </c>
      <c r="K13" s="579" t="e">
        <f>SUM(K10:K12)</f>
        <v>#REF!</v>
      </c>
      <c r="L13" s="579">
        <v>1162273</v>
      </c>
      <c r="M13" s="389"/>
      <c r="N13" s="681"/>
      <c r="O13" s="389"/>
      <c r="P13" s="131"/>
      <c r="Q13" s="579">
        <v>246793</v>
      </c>
      <c r="R13" s="689">
        <v>21.2</v>
      </c>
      <c r="S13" s="389"/>
    </row>
    <row r="14" spans="1:19" ht="12.75">
      <c r="A14" s="167"/>
      <c r="B14" s="168"/>
      <c r="C14" s="168"/>
      <c r="D14" s="168"/>
      <c r="E14" s="168"/>
      <c r="F14" s="168"/>
      <c r="G14" s="566"/>
      <c r="H14" s="168"/>
      <c r="I14" s="566"/>
      <c r="J14" s="58"/>
      <c r="K14" s="71"/>
      <c r="L14" s="92"/>
      <c r="M14" s="389"/>
      <c r="N14" s="681"/>
      <c r="O14" s="389"/>
      <c r="P14" s="131"/>
      <c r="Q14" s="92"/>
      <c r="R14" s="71"/>
      <c r="S14" s="389"/>
    </row>
    <row r="15" spans="1:19" ht="13.5" thickBot="1">
      <c r="A15" s="468" t="s">
        <v>40</v>
      </c>
      <c r="B15" s="212"/>
      <c r="C15" s="212"/>
      <c r="D15" s="212"/>
      <c r="E15" s="212"/>
      <c r="F15" s="212"/>
      <c r="G15" s="690">
        <f>G9-G13</f>
        <v>86084</v>
      </c>
      <c r="H15" s="690" t="e">
        <f>H9-H13</f>
        <v>#REF!</v>
      </c>
      <c r="I15" s="690" t="e">
        <f>I9-I13</f>
        <v>#REF!</v>
      </c>
      <c r="J15" s="690" t="e">
        <f>J9-J13</f>
        <v>#REF!</v>
      </c>
      <c r="K15" s="690" t="e">
        <f>K9-K13</f>
        <v>#REF!</v>
      </c>
      <c r="L15" s="690">
        <v>0</v>
      </c>
      <c r="M15" s="389"/>
      <c r="N15" s="681"/>
      <c r="O15" s="389"/>
      <c r="P15" s="131"/>
      <c r="Q15" s="690">
        <v>242514</v>
      </c>
      <c r="R15" s="263"/>
      <c r="S15" s="389"/>
    </row>
    <row r="16" spans="1:19" ht="12.75">
      <c r="A16" s="131"/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389"/>
      <c r="M16" s="389"/>
      <c r="N16" s="681"/>
      <c r="O16" s="389"/>
      <c r="P16" s="131"/>
      <c r="Q16" s="389"/>
      <c r="R16" s="131"/>
      <c r="S16" s="389"/>
    </row>
    <row r="17" ht="12.75"/>
    <row r="18" ht="12.75"/>
    <row r="19" ht="15.75">
      <c r="A19" s="2" t="s">
        <v>653</v>
      </c>
    </row>
    <row r="20" spans="12:16" ht="13.5" thickBot="1">
      <c r="L20" s="598"/>
      <c r="P20" t="s">
        <v>41</v>
      </c>
    </row>
    <row r="21" spans="1:20" ht="115.5" thickBot="1">
      <c r="A21" s="16" t="s">
        <v>42</v>
      </c>
      <c r="B21" s="16" t="s">
        <v>43</v>
      </c>
      <c r="C21" s="15" t="s">
        <v>44</v>
      </c>
      <c r="D21" s="4"/>
      <c r="E21" s="4"/>
      <c r="F21" s="4"/>
      <c r="G21" s="16" t="s">
        <v>23</v>
      </c>
      <c r="H21" s="7"/>
      <c r="I21" s="8" t="s">
        <v>24</v>
      </c>
      <c r="J21" s="9"/>
      <c r="K21" s="10" t="s">
        <v>25</v>
      </c>
      <c r="L21" s="238" t="s">
        <v>645</v>
      </c>
      <c r="M21" s="403" t="s">
        <v>296</v>
      </c>
      <c r="N21" s="421" t="s">
        <v>681</v>
      </c>
      <c r="O21" s="403" t="s">
        <v>296</v>
      </c>
      <c r="P21" s="421" t="s">
        <v>681</v>
      </c>
      <c r="Q21" s="403" t="s">
        <v>296</v>
      </c>
      <c r="R21" s="421" t="s">
        <v>681</v>
      </c>
      <c r="S21" s="403" t="s">
        <v>296</v>
      </c>
      <c r="T21" s="421" t="s">
        <v>681</v>
      </c>
    </row>
    <row r="22" spans="1:20" ht="13.5" thickBot="1">
      <c r="A22" s="32"/>
      <c r="B22" s="32"/>
      <c r="C22" s="33"/>
      <c r="D22" s="12"/>
      <c r="E22" s="12"/>
      <c r="F22" s="12"/>
      <c r="G22" s="14" t="s">
        <v>45</v>
      </c>
      <c r="H22" s="34" t="s">
        <v>27</v>
      </c>
      <c r="I22" s="16" t="s">
        <v>28</v>
      </c>
      <c r="J22" s="35" t="s">
        <v>29</v>
      </c>
      <c r="K22" s="33" t="s">
        <v>46</v>
      </c>
      <c r="L22" s="208"/>
      <c r="M22" s="25" t="s">
        <v>297</v>
      </c>
      <c r="N22" s="422"/>
      <c r="O22" s="25" t="s">
        <v>750</v>
      </c>
      <c r="P22" s="422"/>
      <c r="Q22" s="25" t="s">
        <v>896</v>
      </c>
      <c r="R22" s="422"/>
      <c r="S22" s="25" t="s">
        <v>957</v>
      </c>
      <c r="T22" s="422"/>
    </row>
    <row r="23" spans="1:20" ht="13.5" thickBot="1">
      <c r="A23" s="38" t="s">
        <v>47</v>
      </c>
      <c r="B23" s="38" t="s">
        <v>48</v>
      </c>
      <c r="C23" s="620" t="s">
        <v>49</v>
      </c>
      <c r="D23" s="138"/>
      <c r="E23" s="138"/>
      <c r="F23" s="138"/>
      <c r="G23" s="621">
        <v>1</v>
      </c>
      <c r="H23" s="624">
        <v>2</v>
      </c>
      <c r="I23" s="621">
        <v>3</v>
      </c>
      <c r="J23" s="624">
        <v>4</v>
      </c>
      <c r="K23" s="620">
        <v>1</v>
      </c>
      <c r="L23" s="622">
        <v>1</v>
      </c>
      <c r="M23" s="623"/>
      <c r="N23" s="424"/>
      <c r="O23" s="625"/>
      <c r="P23" s="426"/>
      <c r="Q23" s="659"/>
      <c r="R23" s="421"/>
      <c r="S23" s="659"/>
      <c r="T23" s="421"/>
    </row>
    <row r="24" spans="1:20" ht="14.25">
      <c r="A24" s="42"/>
      <c r="B24" s="43">
        <v>100</v>
      </c>
      <c r="C24" s="44" t="s">
        <v>50</v>
      </c>
      <c r="D24" s="4"/>
      <c r="E24" s="4"/>
      <c r="F24" s="4"/>
      <c r="G24" s="45">
        <f aca="true" t="shared" si="1" ref="G24:M24">G25+G27+G36</f>
        <v>156019</v>
      </c>
      <c r="H24" s="46">
        <f t="shared" si="1"/>
        <v>296898</v>
      </c>
      <c r="I24" s="45">
        <f t="shared" si="1"/>
        <v>304963</v>
      </c>
      <c r="J24" s="46">
        <f t="shared" si="1"/>
        <v>179461</v>
      </c>
      <c r="K24" s="45">
        <f t="shared" si="1"/>
        <v>322927</v>
      </c>
      <c r="L24" s="45">
        <f t="shared" si="1"/>
        <v>355648</v>
      </c>
      <c r="M24" s="412">
        <f t="shared" si="1"/>
        <v>96685</v>
      </c>
      <c r="N24" s="484">
        <f>SUM(M24/L24)*100</f>
        <v>27.18558799712075</v>
      </c>
      <c r="O24" s="412">
        <f>O25+O27+O36</f>
        <v>144001</v>
      </c>
      <c r="P24" s="484">
        <f>SUM(O24/L24)*100</f>
        <v>40.48975391398236</v>
      </c>
      <c r="Q24" s="45">
        <f>Q25+Q27+Q36</f>
        <v>196008</v>
      </c>
      <c r="R24" s="484">
        <f>SUM(Q24/L24)*100</f>
        <v>55.11292064063343</v>
      </c>
      <c r="S24" s="412">
        <f>S25+S27+S36</f>
        <v>197026</v>
      </c>
      <c r="T24" s="484">
        <f>SUM(S24/L24)*100</f>
        <v>55.39915871873313</v>
      </c>
    </row>
    <row r="25" spans="1:20" ht="12.75">
      <c r="A25" s="47"/>
      <c r="B25" s="48">
        <v>110</v>
      </c>
      <c r="C25" s="49" t="s">
        <v>51</v>
      </c>
      <c r="D25" s="12"/>
      <c r="E25" s="12"/>
      <c r="F25" s="12"/>
      <c r="G25" s="50">
        <f>SUM(G26:G26)</f>
        <v>83622</v>
      </c>
      <c r="H25" s="51">
        <f>SUM(H26)</f>
        <v>221916</v>
      </c>
      <c r="I25" s="50">
        <f>I26</f>
        <v>229581</v>
      </c>
      <c r="J25" s="51">
        <f>J26</f>
        <v>128649</v>
      </c>
      <c r="K25" s="50">
        <f>SUM(K26)</f>
        <v>240000</v>
      </c>
      <c r="L25" s="50">
        <f>SUM(L26)</f>
        <v>271721</v>
      </c>
      <c r="M25" s="197">
        <f>SUM(M26)</f>
        <v>93431</v>
      </c>
      <c r="N25" s="433">
        <f>SUM(M25/L25)*100</f>
        <v>34.38490216067216</v>
      </c>
      <c r="O25" s="197">
        <f>SUM(O26)</f>
        <v>124737</v>
      </c>
      <c r="P25" s="433">
        <f>SUM(O25/L25)*100</f>
        <v>45.906278866926</v>
      </c>
      <c r="Q25" s="50">
        <f>SUM(Q26)</f>
        <v>149771</v>
      </c>
      <c r="R25" s="433">
        <f>SUM(Q25/L25)*100</f>
        <v>55.11940556673941</v>
      </c>
      <c r="S25" s="197">
        <f>SUM(S26)</f>
        <v>149771</v>
      </c>
      <c r="T25" s="433">
        <f>SUM(S25/L25)*100</f>
        <v>55.11940556673941</v>
      </c>
    </row>
    <row r="26" spans="1:20" ht="12.75">
      <c r="A26" s="14"/>
      <c r="B26" s="13">
        <v>111003</v>
      </c>
      <c r="C26" s="12" t="s">
        <v>52</v>
      </c>
      <c r="D26" s="12"/>
      <c r="E26" s="12"/>
      <c r="F26" s="12"/>
      <c r="G26" s="26">
        <v>83622</v>
      </c>
      <c r="H26" s="52">
        <f>209900+10000+2016</f>
        <v>221916</v>
      </c>
      <c r="I26" s="26">
        <f>224011+5570</f>
        <v>229581</v>
      </c>
      <c r="J26" s="52">
        <v>128649</v>
      </c>
      <c r="K26" s="26">
        <f>240000</f>
        <v>240000</v>
      </c>
      <c r="L26" s="26">
        <v>271721</v>
      </c>
      <c r="M26" s="31">
        <v>93431</v>
      </c>
      <c r="N26" s="430">
        <f>SUM(M26/L26)*100</f>
        <v>34.38490216067216</v>
      </c>
      <c r="O26" s="31">
        <v>124737</v>
      </c>
      <c r="P26" s="430">
        <f>SUM(O26/L26)*100</f>
        <v>45.906278866926</v>
      </c>
      <c r="Q26" s="26">
        <v>149771</v>
      </c>
      <c r="R26" s="430">
        <f>SUM(Q26/L26)*100</f>
        <v>55.11940556673941</v>
      </c>
      <c r="S26" s="31">
        <v>149771</v>
      </c>
      <c r="T26" s="430">
        <f>SUM(S26/L26)*100</f>
        <v>55.11940556673941</v>
      </c>
    </row>
    <row r="27" spans="1:20" ht="12.75">
      <c r="A27" s="47"/>
      <c r="B27" s="48">
        <v>120</v>
      </c>
      <c r="C27" s="49" t="s">
        <v>53</v>
      </c>
      <c r="D27" s="12"/>
      <c r="E27" s="12"/>
      <c r="F27" s="12"/>
      <c r="G27" s="50">
        <f aca="true" t="shared" si="2" ref="G27:S27">G28+G32</f>
        <v>36238</v>
      </c>
      <c r="H27" s="51">
        <f t="shared" si="2"/>
        <v>35000</v>
      </c>
      <c r="I27" s="50">
        <f t="shared" si="2"/>
        <v>35000</v>
      </c>
      <c r="J27" s="51">
        <f t="shared" si="2"/>
        <v>28829</v>
      </c>
      <c r="K27" s="50">
        <f t="shared" si="2"/>
        <v>41000</v>
      </c>
      <c r="L27" s="50">
        <f t="shared" si="2"/>
        <v>42000</v>
      </c>
      <c r="M27" s="197">
        <f t="shared" si="2"/>
        <v>1073</v>
      </c>
      <c r="N27" s="433">
        <f>SUM(M27/L27)*100</f>
        <v>2.554761904761905</v>
      </c>
      <c r="O27" s="197">
        <f t="shared" si="2"/>
        <v>5718</v>
      </c>
      <c r="P27" s="433">
        <f>SUM(O27/L27)*100</f>
        <v>13.614285714285716</v>
      </c>
      <c r="Q27" s="50">
        <f t="shared" si="2"/>
        <v>26746</v>
      </c>
      <c r="R27" s="433">
        <f>SUM(Q27/L27)*100</f>
        <v>63.680952380952384</v>
      </c>
      <c r="S27" s="197">
        <f t="shared" si="2"/>
        <v>27145</v>
      </c>
      <c r="T27" s="433">
        <f>SUM(S27/L27)*100</f>
        <v>64.63095238095238</v>
      </c>
    </row>
    <row r="28" spans="1:20" ht="12.75">
      <c r="A28" s="53"/>
      <c r="B28" s="54">
        <v>121</v>
      </c>
      <c r="C28" s="55" t="s">
        <v>54</v>
      </c>
      <c r="D28" s="12"/>
      <c r="E28" s="12"/>
      <c r="F28" s="12"/>
      <c r="G28" s="56">
        <f aca="true" t="shared" si="3" ref="G28:S28">SUM(G29:G31)</f>
        <v>26401</v>
      </c>
      <c r="H28" s="57">
        <f t="shared" si="3"/>
        <v>26400</v>
      </c>
      <c r="I28" s="56">
        <f t="shared" si="3"/>
        <v>26400</v>
      </c>
      <c r="J28" s="57">
        <f t="shared" si="3"/>
        <v>21210</v>
      </c>
      <c r="K28" s="56">
        <f t="shared" si="3"/>
        <v>30000</v>
      </c>
      <c r="L28" s="56">
        <f t="shared" si="3"/>
        <v>30500</v>
      </c>
      <c r="M28" s="200">
        <f t="shared" si="3"/>
        <v>769</v>
      </c>
      <c r="N28" s="434">
        <f>SUM(M28/L28)*100</f>
        <v>2.5213114754098362</v>
      </c>
      <c r="O28" s="200">
        <f t="shared" si="3"/>
        <v>1148</v>
      </c>
      <c r="P28" s="434">
        <f>SUM(O28/L28)*100</f>
        <v>3.763934426229508</v>
      </c>
      <c r="Q28" s="56">
        <f t="shared" si="3"/>
        <v>16930</v>
      </c>
      <c r="R28" s="434">
        <f>SUM(Q28/L28)*100</f>
        <v>55.50819672131148</v>
      </c>
      <c r="S28" s="200">
        <f t="shared" si="3"/>
        <v>17230</v>
      </c>
      <c r="T28" s="434">
        <f>SUM(S28/L28)*100</f>
        <v>56.49180327868852</v>
      </c>
    </row>
    <row r="29" spans="1:20" ht="12.75">
      <c r="A29" s="14"/>
      <c r="B29" s="13">
        <v>121001</v>
      </c>
      <c r="C29" s="12" t="s">
        <v>55</v>
      </c>
      <c r="D29" s="12"/>
      <c r="E29" s="12"/>
      <c r="F29" s="12"/>
      <c r="G29" s="26">
        <v>2006</v>
      </c>
      <c r="H29" s="52">
        <v>3700</v>
      </c>
      <c r="I29" s="26">
        <v>3700</v>
      </c>
      <c r="J29" s="52">
        <v>1823</v>
      </c>
      <c r="K29" s="26">
        <v>3000</v>
      </c>
      <c r="L29" s="26">
        <v>3000</v>
      </c>
      <c r="N29" s="425"/>
      <c r="P29" s="547"/>
      <c r="Q29" s="26"/>
      <c r="R29" s="14"/>
      <c r="T29" s="547"/>
    </row>
    <row r="30" spans="1:20" ht="12.75">
      <c r="A30" s="14"/>
      <c r="B30" s="13">
        <v>121002</v>
      </c>
      <c r="C30" s="12" t="s">
        <v>56</v>
      </c>
      <c r="D30" s="12"/>
      <c r="E30" s="12"/>
      <c r="F30" s="12"/>
      <c r="G30" s="26">
        <v>23265</v>
      </c>
      <c r="H30" s="52">
        <v>19000</v>
      </c>
      <c r="I30" s="26">
        <v>19000</v>
      </c>
      <c r="J30" s="52">
        <v>17585</v>
      </c>
      <c r="K30" s="26">
        <v>25000</v>
      </c>
      <c r="L30" s="26">
        <v>25000</v>
      </c>
      <c r="M30" s="31">
        <v>769</v>
      </c>
      <c r="N30" s="430">
        <f>SUM(M30/L30)*100</f>
        <v>3.076</v>
      </c>
      <c r="O30" s="31">
        <v>1148</v>
      </c>
      <c r="P30" s="430">
        <f>SUM(O30/L30)*100</f>
        <v>4.5920000000000005</v>
      </c>
      <c r="Q30" s="26">
        <v>16930</v>
      </c>
      <c r="R30" s="430">
        <f>SUM(Q30/L30)*100</f>
        <v>67.72</v>
      </c>
      <c r="S30" s="31">
        <v>17230</v>
      </c>
      <c r="T30" s="430">
        <f>SUM(S30/L30)*100</f>
        <v>68.92</v>
      </c>
    </row>
    <row r="31" spans="1:20" ht="12.75">
      <c r="A31" s="14"/>
      <c r="B31" s="13">
        <v>121003</v>
      </c>
      <c r="C31" s="12" t="s">
        <v>57</v>
      </c>
      <c r="D31" s="12"/>
      <c r="E31" s="12"/>
      <c r="F31" s="12"/>
      <c r="G31" s="26">
        <v>1130</v>
      </c>
      <c r="H31" s="52">
        <v>3700</v>
      </c>
      <c r="I31" s="26">
        <v>3700</v>
      </c>
      <c r="J31" s="52">
        <v>1802</v>
      </c>
      <c r="K31" s="26">
        <v>2000</v>
      </c>
      <c r="L31" s="26">
        <f>2000+500</f>
        <v>2500</v>
      </c>
      <c r="N31" s="425"/>
      <c r="P31" s="547"/>
      <c r="Q31" s="26"/>
      <c r="R31" s="14"/>
      <c r="T31" s="547"/>
    </row>
    <row r="32" spans="1:20" ht="12.75">
      <c r="A32" s="53"/>
      <c r="B32" s="54">
        <v>121</v>
      </c>
      <c r="C32" s="55" t="s">
        <v>58</v>
      </c>
      <c r="D32" s="12"/>
      <c r="E32" s="12"/>
      <c r="F32" s="12"/>
      <c r="G32" s="56">
        <f aca="true" t="shared" si="4" ref="G32:M32">SUM(G33:G35)</f>
        <v>9837</v>
      </c>
      <c r="H32" s="57">
        <f t="shared" si="4"/>
        <v>8600</v>
      </c>
      <c r="I32" s="56">
        <f t="shared" si="4"/>
        <v>8600</v>
      </c>
      <c r="J32" s="57">
        <f t="shared" si="4"/>
        <v>7619</v>
      </c>
      <c r="K32" s="56">
        <f t="shared" si="4"/>
        <v>11000</v>
      </c>
      <c r="L32" s="56">
        <f t="shared" si="4"/>
        <v>11500</v>
      </c>
      <c r="M32" s="200">
        <f t="shared" si="4"/>
        <v>304</v>
      </c>
      <c r="N32" s="434">
        <f>SUM(M32/L32)*100</f>
        <v>2.6434782608695655</v>
      </c>
      <c r="O32" s="200">
        <v>4570</v>
      </c>
      <c r="P32" s="434">
        <f>SUM(O32/L32)*100</f>
        <v>39.73913043478261</v>
      </c>
      <c r="Q32" s="56">
        <f>SUM(Q33:Q35)</f>
        <v>9816</v>
      </c>
      <c r="R32" s="434">
        <f>SUM(Q32/L32)*100</f>
        <v>85.35652173913043</v>
      </c>
      <c r="S32" s="544">
        <f>SUM(S33:S35)</f>
        <v>9915</v>
      </c>
      <c r="T32" s="541">
        <f>SUM(S32/L32)*100</f>
        <v>86.21739130434783</v>
      </c>
    </row>
    <row r="33" spans="1:20" ht="12.75">
      <c r="A33" s="14"/>
      <c r="B33" s="13">
        <v>121001</v>
      </c>
      <c r="C33" s="12" t="s">
        <v>55</v>
      </c>
      <c r="D33" s="12"/>
      <c r="E33" s="12"/>
      <c r="F33" s="12"/>
      <c r="G33" s="26">
        <v>1591</v>
      </c>
      <c r="H33" s="52">
        <v>2000</v>
      </c>
      <c r="I33" s="26">
        <v>2000</v>
      </c>
      <c r="J33" s="52">
        <v>1148</v>
      </c>
      <c r="K33" s="26">
        <v>2000</v>
      </c>
      <c r="L33" s="26">
        <v>2000</v>
      </c>
      <c r="N33" s="425"/>
      <c r="P33" s="547"/>
      <c r="Q33" s="26"/>
      <c r="R33" s="14"/>
      <c r="T33" s="547"/>
    </row>
    <row r="34" spans="1:20" ht="12.75">
      <c r="A34" s="14"/>
      <c r="B34" s="13">
        <v>121002</v>
      </c>
      <c r="C34" s="12" t="s">
        <v>56</v>
      </c>
      <c r="D34" s="12"/>
      <c r="E34" s="12"/>
      <c r="F34" s="12"/>
      <c r="G34" s="26">
        <v>6617</v>
      </c>
      <c r="H34" s="52">
        <v>4100</v>
      </c>
      <c r="I34" s="26">
        <v>4100</v>
      </c>
      <c r="J34" s="52">
        <v>4584</v>
      </c>
      <c r="K34" s="26">
        <v>7000</v>
      </c>
      <c r="L34" s="26">
        <v>7000</v>
      </c>
      <c r="M34" s="31">
        <v>304</v>
      </c>
      <c r="N34" s="430">
        <f>SUM(M34/L34)*100</f>
        <v>4.3428571428571425</v>
      </c>
      <c r="O34" s="31">
        <v>4569</v>
      </c>
      <c r="P34" s="430">
        <f>SUM(O34/L34)*100</f>
        <v>65.27142857142857</v>
      </c>
      <c r="Q34" s="26">
        <v>9816</v>
      </c>
      <c r="R34" s="430">
        <f>SUM(Q34/L34)*100</f>
        <v>140.22857142857143</v>
      </c>
      <c r="S34" s="31">
        <v>9915</v>
      </c>
      <c r="T34" s="430">
        <f>SUM(S34/L34)*100</f>
        <v>141.64285714285714</v>
      </c>
    </row>
    <row r="35" spans="1:20" ht="12.75">
      <c r="A35" s="14"/>
      <c r="B35" s="13">
        <v>121003</v>
      </c>
      <c r="C35" s="12" t="s">
        <v>57</v>
      </c>
      <c r="D35" s="12"/>
      <c r="E35" s="12"/>
      <c r="F35" s="12"/>
      <c r="G35" s="26">
        <v>1629</v>
      </c>
      <c r="H35" s="52">
        <v>2500</v>
      </c>
      <c r="I35" s="26">
        <v>2500</v>
      </c>
      <c r="J35" s="52">
        <v>1887</v>
      </c>
      <c r="K35" s="26">
        <v>2000</v>
      </c>
      <c r="L35" s="26">
        <f>2000+500</f>
        <v>2500</v>
      </c>
      <c r="N35" s="425"/>
      <c r="P35" s="547"/>
      <c r="Q35" s="26"/>
      <c r="R35" s="14"/>
      <c r="T35" s="547"/>
    </row>
    <row r="36" spans="1:20" ht="12.75">
      <c r="A36" s="47"/>
      <c r="B36" s="48">
        <v>130</v>
      </c>
      <c r="C36" s="49" t="s">
        <v>59</v>
      </c>
      <c r="D36" s="12"/>
      <c r="E36" s="12"/>
      <c r="F36" s="12"/>
      <c r="G36" s="50">
        <f>G37+G45+G47</f>
        <v>36159</v>
      </c>
      <c r="H36" s="51">
        <f>H37+H45+H47</f>
        <v>39982</v>
      </c>
      <c r="I36" s="50">
        <f>I37+I45+I47</f>
        <v>40382</v>
      </c>
      <c r="J36" s="51">
        <f>J37+J45+J47</f>
        <v>21983</v>
      </c>
      <c r="K36" s="50">
        <f>K37+K45</f>
        <v>41927</v>
      </c>
      <c r="L36" s="50">
        <f>L37+L45</f>
        <v>41927</v>
      </c>
      <c r="M36" s="197">
        <f>M37+M45</f>
        <v>2181</v>
      </c>
      <c r="N36" s="433">
        <f aca="true" t="shared" si="5" ref="N36:N44">SUM(M36/L36)*100</f>
        <v>5.201898537934982</v>
      </c>
      <c r="O36" s="197">
        <f>O37+O45+O47</f>
        <v>13546</v>
      </c>
      <c r="P36" s="433">
        <f aca="true" t="shared" si="6" ref="P36:P44">SUM(O36/L36)*100</f>
        <v>32.30853626541369</v>
      </c>
      <c r="Q36" s="50">
        <f>Q37+Q45+Q47</f>
        <v>19491</v>
      </c>
      <c r="R36" s="433">
        <f aca="true" t="shared" si="7" ref="R36:R44">SUM(Q36/L36)*100</f>
        <v>46.4879433300737</v>
      </c>
      <c r="S36" s="197">
        <f>S37+S45+S47</f>
        <v>20110</v>
      </c>
      <c r="T36" s="433">
        <f aca="true" t="shared" si="8" ref="T36:T44">SUM(S36/L36)*100</f>
        <v>47.9643189352923</v>
      </c>
    </row>
    <row r="37" spans="1:20" ht="12.75">
      <c r="A37" s="53"/>
      <c r="B37" s="54">
        <v>133</v>
      </c>
      <c r="C37" s="55" t="s">
        <v>60</v>
      </c>
      <c r="D37" s="12"/>
      <c r="E37" s="12"/>
      <c r="F37" s="12"/>
      <c r="G37" s="56">
        <f aca="true" t="shared" si="9" ref="G37:S37">SUM(G38:G44)</f>
        <v>33124</v>
      </c>
      <c r="H37" s="57">
        <f t="shared" si="9"/>
        <v>39773</v>
      </c>
      <c r="I37" s="56">
        <f t="shared" si="9"/>
        <v>39973</v>
      </c>
      <c r="J37" s="57">
        <f t="shared" si="9"/>
        <v>21605</v>
      </c>
      <c r="K37" s="56">
        <f t="shared" si="9"/>
        <v>41895</v>
      </c>
      <c r="L37" s="56">
        <f t="shared" si="9"/>
        <v>41895</v>
      </c>
      <c r="M37" s="200">
        <f t="shared" si="9"/>
        <v>2181</v>
      </c>
      <c r="N37" s="434">
        <f t="shared" si="5"/>
        <v>5.205871822413176</v>
      </c>
      <c r="O37" s="200">
        <f t="shared" si="9"/>
        <v>13543</v>
      </c>
      <c r="P37" s="434">
        <f t="shared" si="6"/>
        <v>32.326053228308865</v>
      </c>
      <c r="Q37" s="56">
        <f t="shared" si="9"/>
        <v>19428</v>
      </c>
      <c r="R37" s="434">
        <f t="shared" si="7"/>
        <v>46.373075546007875</v>
      </c>
      <c r="S37" s="200">
        <f t="shared" si="9"/>
        <v>20047</v>
      </c>
      <c r="T37" s="434">
        <f t="shared" si="8"/>
        <v>47.850578828022435</v>
      </c>
    </row>
    <row r="38" spans="1:20" ht="12.75">
      <c r="A38" s="14"/>
      <c r="B38" s="13">
        <v>133001</v>
      </c>
      <c r="C38" s="12" t="s">
        <v>61</v>
      </c>
      <c r="D38" s="12"/>
      <c r="E38" s="12"/>
      <c r="F38" s="12"/>
      <c r="G38" s="26">
        <v>1044</v>
      </c>
      <c r="H38" s="52">
        <v>1100</v>
      </c>
      <c r="I38" s="26">
        <v>1100</v>
      </c>
      <c r="J38" s="52">
        <v>1068</v>
      </c>
      <c r="K38" s="26">
        <v>1100</v>
      </c>
      <c r="L38" s="26">
        <v>1100</v>
      </c>
      <c r="M38" s="31">
        <v>516</v>
      </c>
      <c r="N38" s="430">
        <f t="shared" si="5"/>
        <v>46.909090909090914</v>
      </c>
      <c r="O38" s="31">
        <v>604</v>
      </c>
      <c r="P38" s="430">
        <f t="shared" si="6"/>
        <v>54.90909090909091</v>
      </c>
      <c r="Q38" s="26">
        <v>817</v>
      </c>
      <c r="R38" s="430">
        <f t="shared" si="7"/>
        <v>74.27272727272727</v>
      </c>
      <c r="S38" s="31">
        <v>866</v>
      </c>
      <c r="T38" s="430">
        <f t="shared" si="8"/>
        <v>78.72727272727272</v>
      </c>
    </row>
    <row r="39" spans="1:20" ht="12.75">
      <c r="A39" s="14"/>
      <c r="B39" s="13">
        <v>133003</v>
      </c>
      <c r="C39" s="12" t="s">
        <v>62</v>
      </c>
      <c r="D39" s="12"/>
      <c r="E39" s="12"/>
      <c r="F39" s="12"/>
      <c r="G39" s="14">
        <v>0</v>
      </c>
      <c r="H39" s="12">
        <v>125</v>
      </c>
      <c r="I39" s="14">
        <v>125</v>
      </c>
      <c r="J39" s="12">
        <v>47</v>
      </c>
      <c r="K39" s="26">
        <v>50</v>
      </c>
      <c r="L39" s="26">
        <v>50</v>
      </c>
      <c r="M39" s="31">
        <v>62</v>
      </c>
      <c r="N39" s="430">
        <f t="shared" si="5"/>
        <v>124</v>
      </c>
      <c r="O39" s="31">
        <v>74</v>
      </c>
      <c r="P39" s="430">
        <f t="shared" si="6"/>
        <v>148</v>
      </c>
      <c r="Q39" s="26">
        <v>86</v>
      </c>
      <c r="R39" s="430">
        <f t="shared" si="7"/>
        <v>172</v>
      </c>
      <c r="S39" s="31">
        <v>86</v>
      </c>
      <c r="T39" s="430">
        <f t="shared" si="8"/>
        <v>172</v>
      </c>
    </row>
    <row r="40" spans="1:20" ht="12.75">
      <c r="A40" s="14"/>
      <c r="B40" s="13">
        <v>133004</v>
      </c>
      <c r="C40" s="12" t="s">
        <v>63</v>
      </c>
      <c r="D40" s="12"/>
      <c r="E40" s="12"/>
      <c r="F40" s="12"/>
      <c r="G40" s="14">
        <v>0</v>
      </c>
      <c r="H40" s="12">
        <v>150</v>
      </c>
      <c r="I40" s="14">
        <v>150</v>
      </c>
      <c r="J40" s="12">
        <v>93</v>
      </c>
      <c r="K40" s="26">
        <v>100</v>
      </c>
      <c r="L40" s="26">
        <v>100</v>
      </c>
      <c r="M40" s="31">
        <v>31</v>
      </c>
      <c r="N40" s="430">
        <f t="shared" si="5"/>
        <v>31</v>
      </c>
      <c r="O40" s="31">
        <v>36</v>
      </c>
      <c r="P40" s="430">
        <f t="shared" si="6"/>
        <v>36</v>
      </c>
      <c r="Q40" s="26">
        <v>40</v>
      </c>
      <c r="R40" s="430">
        <f t="shared" si="7"/>
        <v>40</v>
      </c>
      <c r="S40" s="31">
        <v>40</v>
      </c>
      <c r="T40" s="430">
        <f t="shared" si="8"/>
        <v>40</v>
      </c>
    </row>
    <row r="41" spans="1:20" ht="12.75">
      <c r="A41" s="14"/>
      <c r="B41" s="13">
        <v>133005</v>
      </c>
      <c r="C41" s="12" t="s">
        <v>64</v>
      </c>
      <c r="D41" s="12"/>
      <c r="E41" s="12"/>
      <c r="F41" s="12"/>
      <c r="G41" s="14">
        <v>0</v>
      </c>
      <c r="H41" s="12">
        <v>91</v>
      </c>
      <c r="I41" s="14">
        <v>91</v>
      </c>
      <c r="J41" s="12">
        <v>2</v>
      </c>
      <c r="K41" s="26">
        <v>90</v>
      </c>
      <c r="L41" s="26">
        <v>90</v>
      </c>
      <c r="M41" s="31">
        <v>21</v>
      </c>
      <c r="N41" s="430">
        <f t="shared" si="5"/>
        <v>23.333333333333332</v>
      </c>
      <c r="O41" s="31">
        <v>30</v>
      </c>
      <c r="P41" s="430">
        <f t="shared" si="6"/>
        <v>33.33333333333333</v>
      </c>
      <c r="Q41" s="26">
        <v>34</v>
      </c>
      <c r="R41" s="430">
        <f t="shared" si="7"/>
        <v>37.77777777777778</v>
      </c>
      <c r="S41" s="31">
        <v>37</v>
      </c>
      <c r="T41" s="430">
        <f t="shared" si="8"/>
        <v>41.11111111111111</v>
      </c>
    </row>
    <row r="42" spans="1:20" ht="12.75">
      <c r="A42" s="14"/>
      <c r="B42" s="13">
        <v>133006</v>
      </c>
      <c r="C42" s="12" t="s">
        <v>65</v>
      </c>
      <c r="D42" s="12"/>
      <c r="E42" s="12"/>
      <c r="F42" s="12"/>
      <c r="G42" s="14">
        <v>36</v>
      </c>
      <c r="H42" s="12">
        <v>58</v>
      </c>
      <c r="I42" s="14">
        <f>58+200</f>
        <v>258</v>
      </c>
      <c r="J42" s="12">
        <v>176</v>
      </c>
      <c r="K42" s="26">
        <v>300</v>
      </c>
      <c r="L42" s="26">
        <v>300</v>
      </c>
      <c r="M42" s="31">
        <v>85</v>
      </c>
      <c r="N42" s="430">
        <f t="shared" si="5"/>
        <v>28.333333333333332</v>
      </c>
      <c r="O42" s="31">
        <v>110</v>
      </c>
      <c r="P42" s="430">
        <f t="shared" si="6"/>
        <v>36.666666666666664</v>
      </c>
      <c r="Q42" s="26">
        <v>169</v>
      </c>
      <c r="R42" s="430">
        <f t="shared" si="7"/>
        <v>56.333333333333336</v>
      </c>
      <c r="S42" s="31">
        <v>169</v>
      </c>
      <c r="T42" s="430">
        <f t="shared" si="8"/>
        <v>56.333333333333336</v>
      </c>
    </row>
    <row r="43" spans="1:20" ht="12.75">
      <c r="A43" s="14"/>
      <c r="B43" s="13">
        <v>133012</v>
      </c>
      <c r="C43" s="12" t="s">
        <v>66</v>
      </c>
      <c r="D43" s="12"/>
      <c r="E43" s="12"/>
      <c r="F43" s="12"/>
      <c r="G43" s="26">
        <f>2262+69</f>
        <v>2331</v>
      </c>
      <c r="H43" s="52">
        <v>5170</v>
      </c>
      <c r="I43" s="26">
        <v>5170</v>
      </c>
      <c r="J43" s="52">
        <v>1138</v>
      </c>
      <c r="K43" s="26">
        <f>2250+1500</f>
        <v>3750</v>
      </c>
      <c r="L43" s="26">
        <f>2250+1500</f>
        <v>3750</v>
      </c>
      <c r="M43" s="31">
        <v>277</v>
      </c>
      <c r="N43" s="430">
        <f t="shared" si="5"/>
        <v>7.386666666666667</v>
      </c>
      <c r="O43" s="31">
        <v>371</v>
      </c>
      <c r="P43" s="430">
        <f t="shared" si="6"/>
        <v>9.893333333333333</v>
      </c>
      <c r="Q43" s="26">
        <v>572</v>
      </c>
      <c r="R43" s="430">
        <f t="shared" si="7"/>
        <v>15.253333333333332</v>
      </c>
      <c r="S43" s="31">
        <v>588</v>
      </c>
      <c r="T43" s="430">
        <f t="shared" si="8"/>
        <v>15.68</v>
      </c>
    </row>
    <row r="44" spans="1:20" ht="12.75">
      <c r="A44" s="14"/>
      <c r="B44" s="13">
        <v>133013</v>
      </c>
      <c r="C44" s="12" t="s">
        <v>67</v>
      </c>
      <c r="D44" s="12"/>
      <c r="E44" s="12"/>
      <c r="F44" s="12"/>
      <c r="G44" s="26">
        <v>29713</v>
      </c>
      <c r="H44" s="52">
        <v>33079</v>
      </c>
      <c r="I44" s="26">
        <v>33079</v>
      </c>
      <c r="J44" s="52">
        <v>19081</v>
      </c>
      <c r="K44" s="26">
        <v>36505</v>
      </c>
      <c r="L44" s="26">
        <v>36505</v>
      </c>
      <c r="M44" s="31">
        <v>1189</v>
      </c>
      <c r="N44" s="430">
        <f t="shared" si="5"/>
        <v>3.25708807012738</v>
      </c>
      <c r="O44" s="31">
        <v>12318</v>
      </c>
      <c r="P44" s="430">
        <f t="shared" si="6"/>
        <v>33.7433228324887</v>
      </c>
      <c r="Q44" s="26">
        <v>17710</v>
      </c>
      <c r="R44" s="430">
        <f t="shared" si="7"/>
        <v>48.513902205177374</v>
      </c>
      <c r="S44" s="31">
        <v>18261</v>
      </c>
      <c r="T44" s="430">
        <f t="shared" si="8"/>
        <v>50.02328448157787</v>
      </c>
    </row>
    <row r="45" spans="1:20" ht="12.75">
      <c r="A45" s="53"/>
      <c r="B45" s="54">
        <v>134</v>
      </c>
      <c r="C45" s="55" t="s">
        <v>69</v>
      </c>
      <c r="D45" s="12"/>
      <c r="E45" s="12"/>
      <c r="F45" s="12"/>
      <c r="G45" s="53">
        <f aca="true" t="shared" si="10" ref="G45:L45">SUM(G46:G46)</f>
        <v>29</v>
      </c>
      <c r="H45" s="55">
        <f t="shared" si="10"/>
        <v>29</v>
      </c>
      <c r="I45" s="53">
        <f t="shared" si="10"/>
        <v>29</v>
      </c>
      <c r="J45" s="55">
        <f t="shared" si="10"/>
        <v>32</v>
      </c>
      <c r="K45" s="56">
        <f t="shared" si="10"/>
        <v>32</v>
      </c>
      <c r="L45" s="56">
        <f t="shared" si="10"/>
        <v>32</v>
      </c>
      <c r="N45" s="425"/>
      <c r="O45" s="200">
        <f>SUM(O46:O46)</f>
        <v>0</v>
      </c>
      <c r="P45" s="547"/>
      <c r="Q45" s="26"/>
      <c r="R45" s="14"/>
      <c r="S45" s="31">
        <v>0</v>
      </c>
      <c r="T45" s="547"/>
    </row>
    <row r="46" spans="1:20" ht="12.75">
      <c r="A46" s="53"/>
      <c r="B46" s="58">
        <v>134001</v>
      </c>
      <c r="C46" s="24" t="s">
        <v>70</v>
      </c>
      <c r="D46" s="12"/>
      <c r="E46" s="12"/>
      <c r="F46" s="12"/>
      <c r="G46" s="14">
        <v>29</v>
      </c>
      <c r="H46" s="12">
        <v>29</v>
      </c>
      <c r="I46" s="14">
        <v>29</v>
      </c>
      <c r="J46" s="12">
        <v>32</v>
      </c>
      <c r="K46" s="26">
        <v>32</v>
      </c>
      <c r="L46" s="26">
        <v>32</v>
      </c>
      <c r="N46" s="425"/>
      <c r="O46" s="25"/>
      <c r="P46" s="547"/>
      <c r="Q46" s="26"/>
      <c r="R46" s="14"/>
      <c r="S46" s="31">
        <v>0</v>
      </c>
      <c r="T46" s="547"/>
    </row>
    <row r="47" spans="1:20" ht="12.75">
      <c r="A47" s="14"/>
      <c r="B47" s="54">
        <v>139</v>
      </c>
      <c r="C47" s="55" t="s">
        <v>71</v>
      </c>
      <c r="D47" s="12"/>
      <c r="E47" s="12"/>
      <c r="F47" s="12"/>
      <c r="G47" s="56">
        <f aca="true" t="shared" si="11" ref="G47:L47">SUM(G48:G50)</f>
        <v>3006</v>
      </c>
      <c r="H47" s="57">
        <f t="shared" si="11"/>
        <v>180</v>
      </c>
      <c r="I47" s="56">
        <f t="shared" si="11"/>
        <v>380</v>
      </c>
      <c r="J47" s="57">
        <f t="shared" si="11"/>
        <v>346</v>
      </c>
      <c r="K47" s="56">
        <f t="shared" si="11"/>
        <v>0</v>
      </c>
      <c r="L47" s="56">
        <f t="shared" si="11"/>
        <v>0</v>
      </c>
      <c r="N47" s="425"/>
      <c r="O47" s="200">
        <f>SUM(O48:O50)</f>
        <v>3</v>
      </c>
      <c r="P47" s="547"/>
      <c r="Q47" s="56">
        <f>SUM(Q48:Q50)</f>
        <v>63</v>
      </c>
      <c r="R47" s="14"/>
      <c r="S47" s="200">
        <f>SUM(S48:S50)</f>
        <v>63</v>
      </c>
      <c r="T47" s="547"/>
    </row>
    <row r="48" spans="1:20" ht="12.75">
      <c r="A48" s="14"/>
      <c r="B48" s="13"/>
      <c r="C48" s="12" t="s">
        <v>72</v>
      </c>
      <c r="D48" s="12"/>
      <c r="E48" s="12"/>
      <c r="F48" s="12"/>
      <c r="G48" s="26">
        <v>2246</v>
      </c>
      <c r="H48" s="59">
        <v>100</v>
      </c>
      <c r="I48" s="60">
        <v>100</v>
      </c>
      <c r="J48" s="59">
        <v>97</v>
      </c>
      <c r="K48" s="26">
        <v>0</v>
      </c>
      <c r="L48" s="26">
        <v>0</v>
      </c>
      <c r="M48" s="31">
        <v>1</v>
      </c>
      <c r="N48" s="425"/>
      <c r="O48" s="31">
        <v>1</v>
      </c>
      <c r="P48" s="547"/>
      <c r="Q48" s="26">
        <v>61</v>
      </c>
      <c r="R48" s="14"/>
      <c r="S48" s="31">
        <v>61</v>
      </c>
      <c r="T48" s="547"/>
    </row>
    <row r="49" spans="1:20" ht="12.75">
      <c r="A49" s="14"/>
      <c r="B49" s="13"/>
      <c r="C49" s="12" t="s">
        <v>73</v>
      </c>
      <c r="D49" s="12"/>
      <c r="E49" s="12"/>
      <c r="F49" s="12"/>
      <c r="G49" s="26">
        <v>630</v>
      </c>
      <c r="H49" s="59">
        <v>50</v>
      </c>
      <c r="I49" s="60">
        <f>50+200</f>
        <v>250</v>
      </c>
      <c r="J49" s="59">
        <v>241</v>
      </c>
      <c r="K49" s="26">
        <v>0</v>
      </c>
      <c r="L49" s="26">
        <v>0</v>
      </c>
      <c r="N49" s="425"/>
      <c r="O49" s="31">
        <v>1</v>
      </c>
      <c r="P49" s="547"/>
      <c r="Q49" s="26">
        <v>1</v>
      </c>
      <c r="R49" s="14"/>
      <c r="S49" s="31">
        <v>1</v>
      </c>
      <c r="T49" s="547"/>
    </row>
    <row r="50" spans="1:20" ht="12.75">
      <c r="A50" s="14"/>
      <c r="B50" s="13"/>
      <c r="C50" s="12" t="s">
        <v>74</v>
      </c>
      <c r="D50" s="12"/>
      <c r="E50" s="12"/>
      <c r="F50" s="12"/>
      <c r="G50" s="26">
        <v>130</v>
      </c>
      <c r="H50" s="59">
        <v>30</v>
      </c>
      <c r="I50" s="60">
        <v>30</v>
      </c>
      <c r="J50" s="59">
        <v>8</v>
      </c>
      <c r="K50" s="26">
        <v>0</v>
      </c>
      <c r="L50" s="26">
        <v>0</v>
      </c>
      <c r="M50" s="31">
        <v>1</v>
      </c>
      <c r="N50" s="425"/>
      <c r="O50" s="31">
        <v>1</v>
      </c>
      <c r="P50" s="547"/>
      <c r="Q50" s="26">
        <v>1</v>
      </c>
      <c r="R50" s="14"/>
      <c r="S50" s="31">
        <v>1</v>
      </c>
      <c r="T50" s="547"/>
    </row>
    <row r="51" spans="1:20" ht="14.25">
      <c r="A51" s="61"/>
      <c r="B51" s="62">
        <v>200</v>
      </c>
      <c r="C51" s="63" t="s">
        <v>75</v>
      </c>
      <c r="D51" s="12"/>
      <c r="E51" s="12"/>
      <c r="F51" s="12"/>
      <c r="G51" s="64">
        <f aca="true" t="shared" si="12" ref="G51:M51">G52+G76+G99+G102+G105</f>
        <v>87359</v>
      </c>
      <c r="H51" s="65">
        <f t="shared" si="12"/>
        <v>100811</v>
      </c>
      <c r="I51" s="64">
        <f t="shared" si="12"/>
        <v>124606</v>
      </c>
      <c r="J51" s="65">
        <f t="shared" si="12"/>
        <v>31040</v>
      </c>
      <c r="K51" s="64">
        <f t="shared" si="12"/>
        <v>97105</v>
      </c>
      <c r="L51" s="64">
        <f t="shared" si="12"/>
        <v>231471</v>
      </c>
      <c r="M51" s="413">
        <f t="shared" si="12"/>
        <v>10359</v>
      </c>
      <c r="N51" s="432">
        <f>SUM(M51/L51)*100</f>
        <v>4.475290641160232</v>
      </c>
      <c r="O51" s="413" t="e">
        <f>O52+O76+O99+O102+O105</f>
        <v>#REF!</v>
      </c>
      <c r="P51" s="432" t="e">
        <f>SUM(O51/L51)*100</f>
        <v>#REF!</v>
      </c>
      <c r="Q51" s="64" t="e">
        <f>Q52+Q76+Q99+Q102+Q105</f>
        <v>#REF!</v>
      </c>
      <c r="R51" s="432" t="e">
        <f aca="true" t="shared" si="13" ref="R51:R61">SUM(Q51/L51)*100</f>
        <v>#REF!</v>
      </c>
      <c r="S51" s="413">
        <f>S52+S76+S99+S102+S105</f>
        <v>63398</v>
      </c>
      <c r="T51" s="432">
        <f aca="true" t="shared" si="14" ref="T51:T61">SUM(S51/L51)*100</f>
        <v>27.38917618189752</v>
      </c>
    </row>
    <row r="52" spans="1:20" ht="12.75">
      <c r="A52" s="66"/>
      <c r="B52" s="48">
        <v>210</v>
      </c>
      <c r="C52" s="49" t="s">
        <v>76</v>
      </c>
      <c r="D52" s="12"/>
      <c r="E52" s="12"/>
      <c r="F52" s="12"/>
      <c r="G52" s="50">
        <f aca="true" t="shared" si="15" ref="G52:S52">G53+G55</f>
        <v>10452</v>
      </c>
      <c r="H52" s="51">
        <f t="shared" si="15"/>
        <v>9746</v>
      </c>
      <c r="I52" s="50">
        <f t="shared" si="15"/>
        <v>14347</v>
      </c>
      <c r="J52" s="51">
        <f t="shared" si="15"/>
        <v>7752</v>
      </c>
      <c r="K52" s="50">
        <f t="shared" si="15"/>
        <v>13490</v>
      </c>
      <c r="L52" s="50">
        <f t="shared" si="15"/>
        <v>11053</v>
      </c>
      <c r="M52" s="197">
        <f t="shared" si="15"/>
        <v>1649</v>
      </c>
      <c r="N52" s="433">
        <f>SUM(M52/L52)*100</f>
        <v>14.919026508640187</v>
      </c>
      <c r="O52" s="197">
        <f t="shared" si="15"/>
        <v>4456</v>
      </c>
      <c r="P52" s="433">
        <f>SUM(O52/L52)*100</f>
        <v>40.31484664796888</v>
      </c>
      <c r="Q52" s="50">
        <f t="shared" si="15"/>
        <v>5904</v>
      </c>
      <c r="R52" s="433">
        <f t="shared" si="13"/>
        <v>53.415362345064686</v>
      </c>
      <c r="S52" s="197">
        <f t="shared" si="15"/>
        <v>6385</v>
      </c>
      <c r="T52" s="433">
        <f t="shared" si="14"/>
        <v>57.76712204831268</v>
      </c>
    </row>
    <row r="53" spans="1:20" ht="12.75">
      <c r="A53" s="53"/>
      <c r="B53" s="54">
        <v>211</v>
      </c>
      <c r="C53" s="55" t="s">
        <v>77</v>
      </c>
      <c r="D53" s="12"/>
      <c r="E53" s="12"/>
      <c r="F53" s="12"/>
      <c r="G53" s="56">
        <f aca="true" t="shared" si="16" ref="G53:O53">G54</f>
        <v>2035</v>
      </c>
      <c r="H53" s="57">
        <f t="shared" si="16"/>
        <v>0</v>
      </c>
      <c r="I53" s="56">
        <f t="shared" si="16"/>
        <v>2040</v>
      </c>
      <c r="J53" s="57">
        <f t="shared" si="16"/>
        <v>2040</v>
      </c>
      <c r="K53" s="56">
        <f t="shared" si="16"/>
        <v>0</v>
      </c>
      <c r="L53" s="56">
        <f t="shared" si="16"/>
        <v>2244</v>
      </c>
      <c r="M53" s="200">
        <f t="shared" si="16"/>
        <v>0</v>
      </c>
      <c r="N53" s="425"/>
      <c r="O53" s="200">
        <f t="shared" si="16"/>
        <v>2244</v>
      </c>
      <c r="P53" s="547"/>
      <c r="Q53" s="26">
        <v>2244</v>
      </c>
      <c r="R53" s="430">
        <f t="shared" si="13"/>
        <v>100</v>
      </c>
      <c r="S53" s="31">
        <v>2244</v>
      </c>
      <c r="T53" s="430">
        <f t="shared" si="14"/>
        <v>100</v>
      </c>
    </row>
    <row r="54" spans="1:20" ht="12.75">
      <c r="A54" s="14"/>
      <c r="B54" s="13">
        <v>211003</v>
      </c>
      <c r="C54" s="12" t="s">
        <v>78</v>
      </c>
      <c r="D54" s="12"/>
      <c r="E54" s="12"/>
      <c r="F54" s="12"/>
      <c r="G54" s="26">
        <v>2035</v>
      </c>
      <c r="H54" s="52">
        <v>0</v>
      </c>
      <c r="I54" s="26">
        <v>2040</v>
      </c>
      <c r="J54" s="52">
        <v>2040</v>
      </c>
      <c r="K54" s="26">
        <v>0</v>
      </c>
      <c r="L54" s="26">
        <v>2244</v>
      </c>
      <c r="N54" s="425"/>
      <c r="O54" s="31">
        <v>2244</v>
      </c>
      <c r="P54" s="547"/>
      <c r="Q54" s="26">
        <v>2244</v>
      </c>
      <c r="R54" s="430">
        <f t="shared" si="13"/>
        <v>100</v>
      </c>
      <c r="S54" s="31">
        <v>2244</v>
      </c>
      <c r="T54" s="430">
        <f t="shared" si="14"/>
        <v>100</v>
      </c>
    </row>
    <row r="55" spans="1:20" ht="12.75">
      <c r="A55" s="53"/>
      <c r="B55" s="54">
        <v>212</v>
      </c>
      <c r="C55" s="55" t="s">
        <v>79</v>
      </c>
      <c r="D55" s="12"/>
      <c r="E55" s="12"/>
      <c r="F55" s="12"/>
      <c r="G55" s="56">
        <f aca="true" t="shared" si="17" ref="G55:M55">G56+G59+G65</f>
        <v>8417</v>
      </c>
      <c r="H55" s="57">
        <f t="shared" si="17"/>
        <v>9746</v>
      </c>
      <c r="I55" s="56">
        <f t="shared" si="17"/>
        <v>12307</v>
      </c>
      <c r="J55" s="57">
        <f t="shared" si="17"/>
        <v>5712</v>
      </c>
      <c r="K55" s="56">
        <f t="shared" si="17"/>
        <v>13490</v>
      </c>
      <c r="L55" s="56">
        <f t="shared" si="17"/>
        <v>8809</v>
      </c>
      <c r="M55" s="200">
        <f t="shared" si="17"/>
        <v>1649</v>
      </c>
      <c r="N55" s="434">
        <f>SUM(M55/L55)*100</f>
        <v>18.719491429220117</v>
      </c>
      <c r="O55" s="200">
        <f>O56+O59+O65</f>
        <v>2212</v>
      </c>
      <c r="P55" s="434">
        <f>SUM(O55/L55)*100</f>
        <v>25.110682256782834</v>
      </c>
      <c r="Q55" s="56">
        <f>Q56+Q59+Q65</f>
        <v>3660</v>
      </c>
      <c r="R55" s="434">
        <f t="shared" si="13"/>
        <v>41.54841639232603</v>
      </c>
      <c r="S55" s="200">
        <f>S56+S59+S65</f>
        <v>4141</v>
      </c>
      <c r="T55" s="434">
        <f t="shared" si="14"/>
        <v>47.008741060279256</v>
      </c>
    </row>
    <row r="56" spans="1:20" ht="12.75">
      <c r="A56" s="14"/>
      <c r="B56" s="13">
        <v>212002</v>
      </c>
      <c r="C56" s="12" t="s">
        <v>80</v>
      </c>
      <c r="D56" s="12"/>
      <c r="E56" s="12"/>
      <c r="F56" s="12"/>
      <c r="G56" s="14">
        <f aca="true" t="shared" si="18" ref="G56:S56">SUM(G57:G58)</f>
        <v>2536</v>
      </c>
      <c r="H56" s="12">
        <f t="shared" si="18"/>
        <v>3154</v>
      </c>
      <c r="I56" s="14">
        <f t="shared" si="18"/>
        <v>3154</v>
      </c>
      <c r="J56" s="12">
        <f t="shared" si="18"/>
        <v>1574</v>
      </c>
      <c r="K56" s="14">
        <f t="shared" si="18"/>
        <v>3194</v>
      </c>
      <c r="L56" s="26">
        <f t="shared" si="18"/>
        <v>2294</v>
      </c>
      <c r="M56" s="11">
        <f t="shared" si="18"/>
        <v>421</v>
      </c>
      <c r="N56" s="430">
        <f>SUM(M56/L56)*100</f>
        <v>18.352223190932868</v>
      </c>
      <c r="O56" s="11">
        <f t="shared" si="18"/>
        <v>541</v>
      </c>
      <c r="P56" s="430">
        <f>SUM(O56/L56)*100</f>
        <v>23.583260680034872</v>
      </c>
      <c r="Q56" s="14">
        <f t="shared" si="18"/>
        <v>1396</v>
      </c>
      <c r="R56" s="430">
        <f t="shared" si="13"/>
        <v>60.85440278988666</v>
      </c>
      <c r="S56" s="11">
        <f t="shared" si="18"/>
        <v>1400</v>
      </c>
      <c r="T56" s="430">
        <f t="shared" si="14"/>
        <v>61.02877070619006</v>
      </c>
    </row>
    <row r="57" spans="1:20" ht="12.75">
      <c r="A57" s="67"/>
      <c r="B57" s="68"/>
      <c r="C57" s="69" t="s">
        <v>81</v>
      </c>
      <c r="D57" s="12"/>
      <c r="E57" s="12"/>
      <c r="F57" s="12"/>
      <c r="G57" s="67">
        <v>809</v>
      </c>
      <c r="H57" s="59">
        <v>1354</v>
      </c>
      <c r="I57" s="60">
        <v>1354</v>
      </c>
      <c r="J57" s="70">
        <v>691</v>
      </c>
      <c r="K57" s="60">
        <v>1394</v>
      </c>
      <c r="L57" s="60">
        <v>1394</v>
      </c>
      <c r="M57" s="398">
        <v>421</v>
      </c>
      <c r="N57" s="441">
        <f>SUM(M57/L57)*100</f>
        <v>30.20086083213773</v>
      </c>
      <c r="O57" s="398">
        <v>541</v>
      </c>
      <c r="P57" s="441">
        <f>SUM(O57/L57)*100</f>
        <v>38.80918220946915</v>
      </c>
      <c r="Q57" s="60">
        <v>595</v>
      </c>
      <c r="R57" s="441">
        <f t="shared" si="13"/>
        <v>42.68292682926829</v>
      </c>
      <c r="S57" s="398">
        <v>599</v>
      </c>
      <c r="T57" s="441">
        <f t="shared" si="14"/>
        <v>42.96987087517934</v>
      </c>
    </row>
    <row r="58" spans="1:20" ht="12.75">
      <c r="A58" s="67"/>
      <c r="B58" s="68"/>
      <c r="C58" s="69" t="s">
        <v>82</v>
      </c>
      <c r="D58" s="12"/>
      <c r="E58" s="12"/>
      <c r="F58" s="12"/>
      <c r="G58" s="60">
        <v>1727</v>
      </c>
      <c r="H58" s="59">
        <v>1800</v>
      </c>
      <c r="I58" s="60">
        <v>1800</v>
      </c>
      <c r="J58" s="70">
        <v>883</v>
      </c>
      <c r="K58" s="60">
        <v>1800</v>
      </c>
      <c r="L58" s="60">
        <v>900</v>
      </c>
      <c r="M58" s="398"/>
      <c r="N58" s="441"/>
      <c r="O58" s="398"/>
      <c r="P58" s="569"/>
      <c r="Q58" s="60">
        <v>801</v>
      </c>
      <c r="R58" s="441">
        <f t="shared" si="13"/>
        <v>89</v>
      </c>
      <c r="S58" s="398">
        <v>801</v>
      </c>
      <c r="T58" s="441">
        <f t="shared" si="14"/>
        <v>89</v>
      </c>
    </row>
    <row r="59" spans="1:20" ht="12.75">
      <c r="A59" s="71"/>
      <c r="B59" s="58">
        <v>212003</v>
      </c>
      <c r="C59" s="24" t="s">
        <v>83</v>
      </c>
      <c r="D59" s="12"/>
      <c r="E59" s="12"/>
      <c r="F59" s="12"/>
      <c r="G59" s="26">
        <f aca="true" t="shared" si="19" ref="G59:M59">SUM(G60:G64)</f>
        <v>5207</v>
      </c>
      <c r="H59" s="52">
        <f t="shared" si="19"/>
        <v>5459</v>
      </c>
      <c r="I59" s="26">
        <f t="shared" si="19"/>
        <v>9009</v>
      </c>
      <c r="J59" s="52">
        <f t="shared" si="19"/>
        <v>4047</v>
      </c>
      <c r="K59" s="26">
        <f t="shared" si="19"/>
        <v>10154</v>
      </c>
      <c r="L59" s="26">
        <f t="shared" si="19"/>
        <v>6373</v>
      </c>
      <c r="M59" s="25">
        <f t="shared" si="19"/>
        <v>1228</v>
      </c>
      <c r="N59" s="430">
        <f>SUM(M59/L59)*100</f>
        <v>19.268790208692923</v>
      </c>
      <c r="O59" s="25">
        <f>SUM(O60:O64)</f>
        <v>1671</v>
      </c>
      <c r="P59" s="430">
        <f>SUM(O59/L59)*100</f>
        <v>26.219990585281653</v>
      </c>
      <c r="Q59" s="26">
        <f>SUM(Q60:Q64)</f>
        <v>1801</v>
      </c>
      <c r="R59" s="430">
        <f t="shared" si="13"/>
        <v>28.259846226267065</v>
      </c>
      <c r="S59" s="25">
        <f>SUM(S60:S64)</f>
        <v>2660</v>
      </c>
      <c r="T59" s="430">
        <f t="shared" si="14"/>
        <v>41.7385846540091</v>
      </c>
    </row>
    <row r="60" spans="1:20" ht="12.75">
      <c r="A60" s="14"/>
      <c r="B60" s="13"/>
      <c r="C60" s="69" t="s">
        <v>84</v>
      </c>
      <c r="D60" s="12"/>
      <c r="E60" s="12"/>
      <c r="F60" s="12"/>
      <c r="G60" s="67">
        <v>403</v>
      </c>
      <c r="H60" s="70">
        <v>466</v>
      </c>
      <c r="I60" s="67">
        <v>516</v>
      </c>
      <c r="J60" s="70">
        <v>230</v>
      </c>
      <c r="K60" s="67">
        <v>466</v>
      </c>
      <c r="L60" s="60">
        <v>466</v>
      </c>
      <c r="M60" s="398">
        <v>98</v>
      </c>
      <c r="N60" s="441">
        <f>SUM(M60/L60)*100</f>
        <v>21.030042918454935</v>
      </c>
      <c r="O60" s="398">
        <v>99</v>
      </c>
      <c r="P60" s="441">
        <f>SUM(O60/L60)*100</f>
        <v>21.244635193133046</v>
      </c>
      <c r="Q60" s="60">
        <v>110</v>
      </c>
      <c r="R60" s="441">
        <f t="shared" si="13"/>
        <v>23.605150214592275</v>
      </c>
      <c r="S60" s="398">
        <v>163</v>
      </c>
      <c r="T60" s="441">
        <f t="shared" si="14"/>
        <v>34.97854077253219</v>
      </c>
    </row>
    <row r="61" spans="1:20" ht="12.75">
      <c r="A61" s="67"/>
      <c r="B61" s="68"/>
      <c r="C61" s="69" t="s">
        <v>85</v>
      </c>
      <c r="D61" s="12"/>
      <c r="E61" s="12"/>
      <c r="F61" s="12"/>
      <c r="G61" s="60">
        <v>3223</v>
      </c>
      <c r="H61" s="59">
        <v>3223</v>
      </c>
      <c r="I61" s="60">
        <v>3223</v>
      </c>
      <c r="J61" s="59">
        <v>1611</v>
      </c>
      <c r="K61" s="60">
        <v>3223</v>
      </c>
      <c r="L61" s="60">
        <v>1612</v>
      </c>
      <c r="M61" s="398">
        <v>1130</v>
      </c>
      <c r="N61" s="441">
        <f>SUM(M61/L61)*100</f>
        <v>70.09925558312655</v>
      </c>
      <c r="O61" s="398">
        <v>1130</v>
      </c>
      <c r="P61" s="441">
        <f>SUM(O61/L61)*100</f>
        <v>70.09925558312655</v>
      </c>
      <c r="Q61" s="60">
        <v>806</v>
      </c>
      <c r="R61" s="441">
        <f t="shared" si="13"/>
        <v>50</v>
      </c>
      <c r="S61" s="398">
        <v>1612</v>
      </c>
      <c r="T61" s="441">
        <f t="shared" si="14"/>
        <v>100</v>
      </c>
    </row>
    <row r="62" spans="1:20" ht="12.75">
      <c r="A62" s="67"/>
      <c r="B62" s="68"/>
      <c r="C62" s="69" t="s">
        <v>86</v>
      </c>
      <c r="D62" s="12"/>
      <c r="E62" s="12"/>
      <c r="F62" s="12"/>
      <c r="G62" s="67">
        <v>1581</v>
      </c>
      <c r="H62" s="59">
        <v>1770</v>
      </c>
      <c r="I62" s="60">
        <v>1770</v>
      </c>
      <c r="J62" s="59">
        <v>1074</v>
      </c>
      <c r="K62" s="60">
        <v>1770</v>
      </c>
      <c r="L62" s="60">
        <v>500</v>
      </c>
      <c r="N62" s="425"/>
      <c r="O62" s="398">
        <v>442</v>
      </c>
      <c r="P62" s="441">
        <f>SUM(O62/L62)*100</f>
        <v>88.4</v>
      </c>
      <c r="Q62" s="60">
        <v>885</v>
      </c>
      <c r="R62" s="441">
        <f>SUM(Q62/L62)*100</f>
        <v>177</v>
      </c>
      <c r="S62" s="398">
        <v>885</v>
      </c>
      <c r="T62" s="441">
        <f>SUM(S62/L62)*100</f>
        <v>177</v>
      </c>
    </row>
    <row r="63" spans="1:20" ht="12.75">
      <c r="A63" s="14"/>
      <c r="B63" s="13"/>
      <c r="C63" s="69" t="s">
        <v>87</v>
      </c>
      <c r="D63" s="12"/>
      <c r="E63" s="12"/>
      <c r="F63" s="12"/>
      <c r="G63" s="67">
        <v>0</v>
      </c>
      <c r="H63" s="59">
        <v>0</v>
      </c>
      <c r="I63" s="60">
        <v>3500</v>
      </c>
      <c r="J63" s="59">
        <v>1132</v>
      </c>
      <c r="K63" s="60">
        <v>4695</v>
      </c>
      <c r="L63" s="60">
        <v>2276</v>
      </c>
      <c r="N63" s="425"/>
      <c r="O63" s="398"/>
      <c r="P63" s="569"/>
      <c r="Q63" s="60"/>
      <c r="R63" s="67"/>
      <c r="S63" s="398"/>
      <c r="T63" s="569"/>
    </row>
    <row r="64" spans="1:20" ht="12.75">
      <c r="A64" s="14"/>
      <c r="B64" s="13"/>
      <c r="C64" s="69" t="s">
        <v>690</v>
      </c>
      <c r="D64" s="12"/>
      <c r="E64" s="12"/>
      <c r="F64" s="12"/>
      <c r="G64" s="67"/>
      <c r="H64" s="59"/>
      <c r="I64" s="60"/>
      <c r="J64" s="59"/>
      <c r="K64" s="60"/>
      <c r="L64" s="60">
        <v>1519</v>
      </c>
      <c r="N64" s="425"/>
      <c r="O64" s="398"/>
      <c r="P64" s="569"/>
      <c r="Q64" s="60"/>
      <c r="R64" s="67"/>
      <c r="S64" s="398"/>
      <c r="T64" s="569"/>
    </row>
    <row r="65" spans="1:20" ht="12.75">
      <c r="A65" s="67"/>
      <c r="B65" s="58">
        <v>212004</v>
      </c>
      <c r="C65" t="s">
        <v>88</v>
      </c>
      <c r="G65" s="14">
        <f aca="true" t="shared" si="20" ref="G65:L65">SUM(G66:G69)</f>
        <v>674</v>
      </c>
      <c r="H65" s="14">
        <f t="shared" si="20"/>
        <v>1133</v>
      </c>
      <c r="I65" s="14">
        <f t="shared" si="20"/>
        <v>144</v>
      </c>
      <c r="J65" s="11">
        <f t="shared" si="20"/>
        <v>91</v>
      </c>
      <c r="K65" s="14">
        <f t="shared" si="20"/>
        <v>142</v>
      </c>
      <c r="L65" s="26">
        <f t="shared" si="20"/>
        <v>142</v>
      </c>
      <c r="N65" s="425"/>
      <c r="P65" s="547"/>
      <c r="Q65" s="26">
        <f>SUM(Q66:Q69)</f>
        <v>463</v>
      </c>
      <c r="R65" s="430">
        <f>SUM(Q65/L65)*100</f>
        <v>326.056338028169</v>
      </c>
      <c r="S65" s="25">
        <f>SUM(S66:S69)</f>
        <v>81</v>
      </c>
      <c r="T65" s="430">
        <f>SUM(S65/L65)*100</f>
        <v>57.04225352112676</v>
      </c>
    </row>
    <row r="66" spans="1:21" ht="12.75">
      <c r="A66" s="67"/>
      <c r="B66" s="68"/>
      <c r="C66" s="69" t="s">
        <v>85</v>
      </c>
      <c r="D66" s="12"/>
      <c r="E66" s="12"/>
      <c r="F66" s="12"/>
      <c r="G66" s="67">
        <v>27</v>
      </c>
      <c r="H66" s="70">
        <v>27</v>
      </c>
      <c r="I66" s="67">
        <v>27</v>
      </c>
      <c r="J66" s="70">
        <v>13</v>
      </c>
      <c r="K66" s="67">
        <v>26</v>
      </c>
      <c r="L66" s="60">
        <v>26</v>
      </c>
      <c r="N66" s="425"/>
      <c r="O66" s="398"/>
      <c r="P66" s="569"/>
      <c r="Q66" s="60">
        <v>10</v>
      </c>
      <c r="R66" s="441">
        <f>SUM(Q66/L66)*100</f>
        <v>38.46153846153847</v>
      </c>
      <c r="S66" s="398">
        <v>15</v>
      </c>
      <c r="T66" s="441">
        <f>SUM(S66/L66)*100</f>
        <v>57.692307692307686</v>
      </c>
      <c r="U66" s="398"/>
    </row>
    <row r="67" spans="1:21" ht="12.75">
      <c r="A67" s="67"/>
      <c r="B67" s="68"/>
      <c r="C67" s="69" t="s">
        <v>89</v>
      </c>
      <c r="D67" s="12"/>
      <c r="E67" s="12"/>
      <c r="F67" s="12"/>
      <c r="G67" s="60">
        <v>6</v>
      </c>
      <c r="H67" s="59">
        <v>5</v>
      </c>
      <c r="I67" s="60">
        <v>5</v>
      </c>
      <c r="J67" s="59">
        <v>0</v>
      </c>
      <c r="K67" s="60">
        <v>3</v>
      </c>
      <c r="L67" s="60">
        <v>3</v>
      </c>
      <c r="N67" s="425"/>
      <c r="O67" s="398"/>
      <c r="P67" s="569"/>
      <c r="Q67" s="60"/>
      <c r="R67" s="67"/>
      <c r="S67" s="398"/>
      <c r="T67" s="569"/>
      <c r="U67" s="398"/>
    </row>
    <row r="68" spans="1:21" ht="12.75">
      <c r="A68" s="67"/>
      <c r="B68" s="68"/>
      <c r="C68" s="72" t="s">
        <v>90</v>
      </c>
      <c r="D68" s="12"/>
      <c r="E68" s="12"/>
      <c r="F68" s="12"/>
      <c r="G68" s="67">
        <v>641</v>
      </c>
      <c r="H68" s="59">
        <v>1101</v>
      </c>
      <c r="I68" s="60">
        <v>112</v>
      </c>
      <c r="J68" s="70">
        <v>56</v>
      </c>
      <c r="K68" s="60">
        <v>113</v>
      </c>
      <c r="L68" s="60">
        <v>113</v>
      </c>
      <c r="N68" s="425"/>
      <c r="O68" s="398"/>
      <c r="P68" s="569"/>
      <c r="Q68" s="60">
        <v>443</v>
      </c>
      <c r="R68" s="441">
        <f>SUM(Q68/L68)*100</f>
        <v>392.0353982300885</v>
      </c>
      <c r="S68" s="398">
        <v>56</v>
      </c>
      <c r="T68" s="441">
        <f>SUM(S68/L68)*100</f>
        <v>49.557522123893804</v>
      </c>
      <c r="U68" s="398"/>
    </row>
    <row r="69" spans="1:21" ht="13.5" thickBot="1">
      <c r="A69" s="67"/>
      <c r="B69" s="68"/>
      <c r="C69" s="72" t="s">
        <v>91</v>
      </c>
      <c r="D69" s="12"/>
      <c r="E69" s="12"/>
      <c r="F69" s="12"/>
      <c r="G69" s="67">
        <v>0</v>
      </c>
      <c r="H69" s="59">
        <v>0</v>
      </c>
      <c r="I69" s="60">
        <v>0</v>
      </c>
      <c r="J69" s="70">
        <v>22</v>
      </c>
      <c r="K69" s="60">
        <v>0</v>
      </c>
      <c r="L69" s="60">
        <v>0</v>
      </c>
      <c r="M69" s="416"/>
      <c r="N69" s="425"/>
      <c r="O69" s="590"/>
      <c r="P69" s="569"/>
      <c r="Q69" s="60">
        <v>10</v>
      </c>
      <c r="R69" s="67"/>
      <c r="S69" s="590">
        <v>10</v>
      </c>
      <c r="T69" s="441"/>
      <c r="U69" s="398"/>
    </row>
    <row r="70" spans="1:20" ht="13.5" thickBot="1">
      <c r="A70" s="474"/>
      <c r="B70" s="474"/>
      <c r="C70" s="472"/>
      <c r="D70" s="4"/>
      <c r="E70" s="4"/>
      <c r="F70" s="4"/>
      <c r="G70" s="474"/>
      <c r="H70" s="714"/>
      <c r="I70" s="714"/>
      <c r="J70" s="9"/>
      <c r="K70" s="715"/>
      <c r="L70" s="475"/>
      <c r="M70" s="419"/>
      <c r="N70" s="490"/>
      <c r="O70" s="419"/>
      <c r="P70" s="4"/>
      <c r="Q70" s="419"/>
      <c r="R70" s="4"/>
      <c r="S70" s="419"/>
      <c r="T70" s="4"/>
    </row>
    <row r="71" spans="1:20" ht="13.5" thickBot="1">
      <c r="A71" s="70"/>
      <c r="B71" s="70"/>
      <c r="C71" s="69"/>
      <c r="D71" s="12"/>
      <c r="E71" s="12"/>
      <c r="F71" s="12"/>
      <c r="G71" s="70"/>
      <c r="H71" s="75"/>
      <c r="I71" s="75"/>
      <c r="J71" s="77"/>
      <c r="K71" s="471"/>
      <c r="L71" s="59"/>
      <c r="M71" s="52"/>
      <c r="N71" s="428"/>
      <c r="O71" s="52"/>
      <c r="P71" s="12"/>
      <c r="Q71" s="52"/>
      <c r="R71" s="12"/>
      <c r="S71" s="52"/>
      <c r="T71" s="12"/>
    </row>
    <row r="72" spans="1:12" ht="13.5" thickBot="1">
      <c r="A72" s="77"/>
      <c r="B72" s="70"/>
      <c r="C72" s="473"/>
      <c r="D72" s="19"/>
      <c r="E72" s="19"/>
      <c r="F72" s="19"/>
      <c r="G72" s="70"/>
      <c r="H72" s="75"/>
      <c r="I72" s="75"/>
      <c r="J72" s="77"/>
      <c r="K72" s="471"/>
      <c r="L72" s="75"/>
    </row>
    <row r="73" spans="1:20" ht="115.5" thickBot="1">
      <c r="A73" s="16" t="s">
        <v>42</v>
      </c>
      <c r="B73" s="78" t="s">
        <v>43</v>
      </c>
      <c r="C73" s="15" t="s">
        <v>44</v>
      </c>
      <c r="D73" s="4"/>
      <c r="E73" s="4"/>
      <c r="F73" s="4"/>
      <c r="G73" s="15" t="s">
        <v>23</v>
      </c>
      <c r="H73" s="79"/>
      <c r="I73" s="8" t="s">
        <v>24</v>
      </c>
      <c r="J73" s="80"/>
      <c r="K73" s="10" t="s">
        <v>25</v>
      </c>
      <c r="L73" s="238" t="s">
        <v>645</v>
      </c>
      <c r="M73" s="403" t="s">
        <v>296</v>
      </c>
      <c r="N73" s="421" t="s">
        <v>681</v>
      </c>
      <c r="O73" s="403" t="s">
        <v>296</v>
      </c>
      <c r="P73" s="421" t="s">
        <v>681</v>
      </c>
      <c r="Q73" s="403" t="s">
        <v>296</v>
      </c>
      <c r="R73" s="421" t="s">
        <v>681</v>
      </c>
      <c r="S73" s="403" t="s">
        <v>296</v>
      </c>
      <c r="T73" s="421" t="s">
        <v>681</v>
      </c>
    </row>
    <row r="74" spans="1:20" ht="13.5" thickBot="1">
      <c r="A74" s="32"/>
      <c r="B74" s="81"/>
      <c r="C74" s="33"/>
      <c r="D74" s="12"/>
      <c r="E74" s="12"/>
      <c r="F74" s="12"/>
      <c r="G74" s="11" t="s">
        <v>45</v>
      </c>
      <c r="H74" s="32" t="s">
        <v>27</v>
      </c>
      <c r="I74" s="34" t="s">
        <v>92</v>
      </c>
      <c r="J74" s="82" t="s">
        <v>29</v>
      </c>
      <c r="K74" s="33" t="s">
        <v>46</v>
      </c>
      <c r="L74" s="208"/>
      <c r="M74" s="25" t="s">
        <v>297</v>
      </c>
      <c r="N74" s="422"/>
      <c r="O74" s="25" t="s">
        <v>750</v>
      </c>
      <c r="P74" s="422"/>
      <c r="Q74" s="25" t="s">
        <v>896</v>
      </c>
      <c r="R74" s="422"/>
      <c r="S74" s="25" t="s">
        <v>957</v>
      </c>
      <c r="T74" s="422"/>
    </row>
    <row r="75" spans="1:20" ht="13.5" thickBot="1">
      <c r="A75" s="618" t="s">
        <v>47</v>
      </c>
      <c r="B75" s="619" t="s">
        <v>48</v>
      </c>
      <c r="C75" s="620" t="s">
        <v>49</v>
      </c>
      <c r="D75" s="138"/>
      <c r="E75" s="138"/>
      <c r="F75" s="138"/>
      <c r="G75" s="621">
        <v>1</v>
      </c>
      <c r="H75" s="621">
        <v>2</v>
      </c>
      <c r="I75" s="621">
        <v>3</v>
      </c>
      <c r="J75" s="621">
        <v>4</v>
      </c>
      <c r="K75" s="620">
        <v>1</v>
      </c>
      <c r="L75" s="622">
        <v>1</v>
      </c>
      <c r="M75" s="623"/>
      <c r="N75" s="424"/>
      <c r="O75" s="623"/>
      <c r="P75" s="424"/>
      <c r="Q75" s="659"/>
      <c r="R75" s="421"/>
      <c r="S75" s="659"/>
      <c r="T75" s="421"/>
    </row>
    <row r="76" spans="1:20" ht="12.75">
      <c r="A76" s="85"/>
      <c r="B76" s="49">
        <v>220</v>
      </c>
      <c r="C76" s="85" t="s">
        <v>93</v>
      </c>
      <c r="D76" s="4"/>
      <c r="E76" s="4"/>
      <c r="F76" s="5"/>
      <c r="G76" s="86">
        <f aca="true" t="shared" si="21" ref="G76:S76">G77+G82+G86+G97</f>
        <v>24162</v>
      </c>
      <c r="H76" s="87">
        <f t="shared" si="21"/>
        <v>20145</v>
      </c>
      <c r="I76" s="86">
        <f t="shared" si="21"/>
        <v>25795</v>
      </c>
      <c r="J76" s="87">
        <f t="shared" si="21"/>
        <v>14067</v>
      </c>
      <c r="K76" s="87">
        <f t="shared" si="21"/>
        <v>26354</v>
      </c>
      <c r="L76" s="87">
        <f t="shared" si="21"/>
        <v>26947</v>
      </c>
      <c r="M76" s="482">
        <f t="shared" si="21"/>
        <v>4279</v>
      </c>
      <c r="N76" s="572">
        <f aca="true" t="shared" si="22" ref="N76:N81">SUM(M76/L76)*100</f>
        <v>15.879318662559841</v>
      </c>
      <c r="O76" s="482">
        <f t="shared" si="21"/>
        <v>5445</v>
      </c>
      <c r="P76" s="572">
        <f aca="true" t="shared" si="23" ref="P76:P81">SUM(O76/L76)*100</f>
        <v>20.2063309459309</v>
      </c>
      <c r="Q76" s="87">
        <f t="shared" si="21"/>
        <v>7161</v>
      </c>
      <c r="R76" s="661">
        <f aca="true" t="shared" si="24" ref="R76:R81">SUM(Q76/L76)*100</f>
        <v>26.574386759193974</v>
      </c>
      <c r="S76" s="482">
        <f t="shared" si="21"/>
        <v>16467</v>
      </c>
      <c r="T76" s="572">
        <f aca="true" t="shared" si="25" ref="T76:T83">SUM(S76/L76)*100</f>
        <v>61.10884328496679</v>
      </c>
    </row>
    <row r="77" spans="1:20" ht="12.75">
      <c r="A77" s="53"/>
      <c r="B77" s="55">
        <v>221</v>
      </c>
      <c r="C77" s="53" t="s">
        <v>94</v>
      </c>
      <c r="D77" s="12"/>
      <c r="E77" s="12"/>
      <c r="F77" s="13"/>
      <c r="G77" s="57">
        <f aca="true" t="shared" si="26" ref="G77:S77">SUM(G78:G81)</f>
        <v>8772</v>
      </c>
      <c r="H77" s="56">
        <f t="shared" si="26"/>
        <v>6085</v>
      </c>
      <c r="I77" s="57">
        <f t="shared" si="26"/>
        <v>6285</v>
      </c>
      <c r="J77" s="56">
        <f t="shared" si="26"/>
        <v>2306</v>
      </c>
      <c r="K77" s="56">
        <f t="shared" si="26"/>
        <v>8660</v>
      </c>
      <c r="L77" s="56">
        <f t="shared" si="26"/>
        <v>8660</v>
      </c>
      <c r="M77" s="200">
        <f t="shared" si="26"/>
        <v>1732</v>
      </c>
      <c r="N77" s="434">
        <f t="shared" si="22"/>
        <v>20</v>
      </c>
      <c r="O77" s="200">
        <f t="shared" si="26"/>
        <v>1994</v>
      </c>
      <c r="P77" s="434">
        <f t="shared" si="23"/>
        <v>23.02540415704388</v>
      </c>
      <c r="Q77" s="56">
        <f t="shared" si="26"/>
        <v>2519</v>
      </c>
      <c r="R77" s="541">
        <f t="shared" si="24"/>
        <v>29.087759815242492</v>
      </c>
      <c r="S77" s="200">
        <f t="shared" si="26"/>
        <v>2586</v>
      </c>
      <c r="T77" s="434">
        <f t="shared" si="25"/>
        <v>29.861431870669747</v>
      </c>
    </row>
    <row r="78" spans="1:21" ht="12.75">
      <c r="A78" s="14"/>
      <c r="B78" s="12">
        <v>221004</v>
      </c>
      <c r="C78" s="14" t="s">
        <v>96</v>
      </c>
      <c r="D78" s="12"/>
      <c r="E78" s="12"/>
      <c r="F78" s="13"/>
      <c r="G78" s="59">
        <v>640</v>
      </c>
      <c r="H78" s="60">
        <v>400</v>
      </c>
      <c r="I78" s="59">
        <f>400+200</f>
        <v>600</v>
      </c>
      <c r="J78" s="60">
        <v>488</v>
      </c>
      <c r="K78" s="60">
        <v>700</v>
      </c>
      <c r="L78" s="60">
        <v>700</v>
      </c>
      <c r="M78" s="398">
        <v>209</v>
      </c>
      <c r="N78" s="441">
        <f t="shared" si="22"/>
        <v>29.85714285714286</v>
      </c>
      <c r="O78" s="398">
        <v>284</v>
      </c>
      <c r="P78" s="441">
        <f t="shared" si="23"/>
        <v>40.57142857142857</v>
      </c>
      <c r="Q78" s="60">
        <v>484</v>
      </c>
      <c r="R78" s="662">
        <f t="shared" si="24"/>
        <v>69.14285714285714</v>
      </c>
      <c r="S78" s="398">
        <v>519</v>
      </c>
      <c r="T78" s="441">
        <f t="shared" si="25"/>
        <v>74.14285714285714</v>
      </c>
      <c r="U78" s="398"/>
    </row>
    <row r="79" spans="1:21" ht="12.75">
      <c r="A79" s="14"/>
      <c r="B79" s="12"/>
      <c r="C79" s="14" t="s">
        <v>97</v>
      </c>
      <c r="D79" s="12"/>
      <c r="E79" s="12"/>
      <c r="F79" s="13"/>
      <c r="G79" s="59">
        <v>349</v>
      </c>
      <c r="H79" s="60">
        <v>385</v>
      </c>
      <c r="I79" s="59">
        <v>385</v>
      </c>
      <c r="J79" s="60">
        <v>193</v>
      </c>
      <c r="K79" s="60">
        <v>460</v>
      </c>
      <c r="L79" s="60">
        <v>460</v>
      </c>
      <c r="M79" s="398">
        <v>82</v>
      </c>
      <c r="N79" s="441">
        <f t="shared" si="22"/>
        <v>17.82608695652174</v>
      </c>
      <c r="O79" s="398">
        <v>111</v>
      </c>
      <c r="P79" s="441">
        <f t="shared" si="23"/>
        <v>24.130434782608695</v>
      </c>
      <c r="Q79" s="60">
        <v>160</v>
      </c>
      <c r="R79" s="662">
        <f t="shared" si="24"/>
        <v>34.78260869565217</v>
      </c>
      <c r="S79" s="398">
        <v>164</v>
      </c>
      <c r="T79" s="441">
        <f t="shared" si="25"/>
        <v>35.65217391304348</v>
      </c>
      <c r="U79" s="398"/>
    </row>
    <row r="80" spans="1:21" ht="12.75">
      <c r="A80" s="14"/>
      <c r="B80" s="12"/>
      <c r="C80" s="14" t="s">
        <v>98</v>
      </c>
      <c r="D80" s="12"/>
      <c r="E80" s="12"/>
      <c r="F80" s="13"/>
      <c r="G80" s="59">
        <v>405</v>
      </c>
      <c r="H80" s="60">
        <v>300</v>
      </c>
      <c r="I80" s="59">
        <v>300</v>
      </c>
      <c r="J80" s="60">
        <v>231</v>
      </c>
      <c r="K80" s="60">
        <v>500</v>
      </c>
      <c r="L80" s="60">
        <v>500</v>
      </c>
      <c r="M80" s="398">
        <v>73</v>
      </c>
      <c r="N80" s="441">
        <f t="shared" si="22"/>
        <v>14.6</v>
      </c>
      <c r="O80" s="398">
        <v>197</v>
      </c>
      <c r="P80" s="441">
        <f t="shared" si="23"/>
        <v>39.4</v>
      </c>
      <c r="Q80" s="60">
        <v>375</v>
      </c>
      <c r="R80" s="662">
        <f t="shared" si="24"/>
        <v>75</v>
      </c>
      <c r="S80" s="398">
        <v>400</v>
      </c>
      <c r="T80" s="441">
        <f t="shared" si="25"/>
        <v>80</v>
      </c>
      <c r="U80" s="398"/>
    </row>
    <row r="81" spans="1:21" ht="12.75">
      <c r="A81" s="14"/>
      <c r="B81" s="12"/>
      <c r="C81" s="14" t="s">
        <v>99</v>
      </c>
      <c r="D81" s="12"/>
      <c r="E81" s="12"/>
      <c r="F81" s="13"/>
      <c r="G81" s="59">
        <v>7378</v>
      </c>
      <c r="H81" s="60">
        <v>5000</v>
      </c>
      <c r="I81" s="59">
        <v>5000</v>
      </c>
      <c r="J81" s="60">
        <v>1394</v>
      </c>
      <c r="K81" s="60">
        <v>7000</v>
      </c>
      <c r="L81" s="60">
        <v>7000</v>
      </c>
      <c r="M81" s="398">
        <v>1368</v>
      </c>
      <c r="N81" s="441">
        <f t="shared" si="22"/>
        <v>19.54285714285714</v>
      </c>
      <c r="O81" s="398">
        <v>1402</v>
      </c>
      <c r="P81" s="441">
        <f t="shared" si="23"/>
        <v>20.02857142857143</v>
      </c>
      <c r="Q81" s="60">
        <v>1500</v>
      </c>
      <c r="R81" s="662">
        <f t="shared" si="24"/>
        <v>21.428571428571427</v>
      </c>
      <c r="S81" s="398">
        <v>1503</v>
      </c>
      <c r="T81" s="441">
        <f t="shared" si="25"/>
        <v>21.47142857142857</v>
      </c>
      <c r="U81" s="398"/>
    </row>
    <row r="82" spans="1:20" ht="12.75">
      <c r="A82" s="53"/>
      <c r="B82" s="55">
        <v>222</v>
      </c>
      <c r="C82" s="53" t="s">
        <v>100</v>
      </c>
      <c r="D82" s="12"/>
      <c r="E82" s="12"/>
      <c r="F82" s="13"/>
      <c r="G82" s="57">
        <f>SUM(G83:G84)</f>
        <v>768</v>
      </c>
      <c r="H82" s="56">
        <f>SUM(H83:H84)</f>
        <v>0</v>
      </c>
      <c r="I82" s="57">
        <f>SUM(I83:I85)</f>
        <v>1852</v>
      </c>
      <c r="J82" s="56">
        <f>SUM(J83:J85)</f>
        <v>1114</v>
      </c>
      <c r="K82" s="56">
        <v>0</v>
      </c>
      <c r="L82" s="56">
        <f>SUM(L83:L84)</f>
        <v>693</v>
      </c>
      <c r="M82" s="200">
        <f>SUM(M83+M84+M85)</f>
        <v>469</v>
      </c>
      <c r="N82" s="425"/>
      <c r="O82" s="200">
        <f>SUM(O83+O84+O85)</f>
        <v>692</v>
      </c>
      <c r="P82" s="547"/>
      <c r="Q82" s="56">
        <f>SUM(Q83+Q84+Q85)</f>
        <v>1121</v>
      </c>
      <c r="R82" s="13"/>
      <c r="S82" s="200">
        <f>SUM(S83+S84+S85)</f>
        <v>1178</v>
      </c>
      <c r="T82" s="434">
        <f t="shared" si="25"/>
        <v>169.98556998557</v>
      </c>
    </row>
    <row r="83" spans="1:21" ht="12.75">
      <c r="A83" s="14"/>
      <c r="B83" s="12">
        <v>222003</v>
      </c>
      <c r="C83" s="14" t="s">
        <v>101</v>
      </c>
      <c r="D83" s="12"/>
      <c r="E83" s="12"/>
      <c r="F83" s="13"/>
      <c r="G83" s="59">
        <v>687</v>
      </c>
      <c r="H83" s="60">
        <v>0</v>
      </c>
      <c r="I83" s="59">
        <f>855+900</f>
        <v>1755</v>
      </c>
      <c r="J83" s="60">
        <f>1048-24-73+66</f>
        <v>1017</v>
      </c>
      <c r="K83" s="60">
        <v>0</v>
      </c>
      <c r="L83" s="60">
        <v>693</v>
      </c>
      <c r="M83" s="31">
        <v>461</v>
      </c>
      <c r="N83" s="425"/>
      <c r="O83" s="31">
        <v>683</v>
      </c>
      <c r="P83" s="547"/>
      <c r="Q83" s="60">
        <v>1106</v>
      </c>
      <c r="R83" s="68"/>
      <c r="S83" s="398">
        <v>1163</v>
      </c>
      <c r="T83" s="441">
        <f t="shared" si="25"/>
        <v>167.82106782106783</v>
      </c>
      <c r="U83" s="398"/>
    </row>
    <row r="84" spans="1:21" ht="12.75">
      <c r="A84" s="14"/>
      <c r="B84" s="12"/>
      <c r="C84" s="14" t="s">
        <v>102</v>
      </c>
      <c r="D84" s="12"/>
      <c r="E84" s="12"/>
      <c r="F84" s="13"/>
      <c r="G84" s="59">
        <v>81</v>
      </c>
      <c r="H84" s="60">
        <v>0</v>
      </c>
      <c r="I84" s="59">
        <v>24</v>
      </c>
      <c r="J84" s="60">
        <v>24</v>
      </c>
      <c r="K84" s="60">
        <v>0</v>
      </c>
      <c r="L84" s="60">
        <v>0</v>
      </c>
      <c r="M84" s="31">
        <v>3</v>
      </c>
      <c r="N84" s="425"/>
      <c r="O84" s="31">
        <v>1</v>
      </c>
      <c r="P84" s="547"/>
      <c r="Q84" s="60">
        <v>2</v>
      </c>
      <c r="R84" s="68"/>
      <c r="S84" s="398">
        <v>2</v>
      </c>
      <c r="T84" s="569"/>
      <c r="U84" s="398"/>
    </row>
    <row r="85" spans="1:21" ht="12.75">
      <c r="A85" s="14"/>
      <c r="B85" s="12"/>
      <c r="C85" s="14" t="s">
        <v>103</v>
      </c>
      <c r="D85" s="12"/>
      <c r="E85" s="12"/>
      <c r="F85" s="13"/>
      <c r="G85" s="59">
        <v>0</v>
      </c>
      <c r="H85" s="60">
        <v>0</v>
      </c>
      <c r="I85" s="59">
        <v>73</v>
      </c>
      <c r="J85" s="60">
        <v>73</v>
      </c>
      <c r="K85" s="60">
        <v>0</v>
      </c>
      <c r="L85" s="60">
        <v>0</v>
      </c>
      <c r="M85" s="31">
        <v>5</v>
      </c>
      <c r="N85" s="425"/>
      <c r="O85" s="31">
        <v>8</v>
      </c>
      <c r="P85" s="547"/>
      <c r="Q85" s="60">
        <v>13</v>
      </c>
      <c r="R85" s="68"/>
      <c r="S85" s="398">
        <v>13</v>
      </c>
      <c r="T85" s="569"/>
      <c r="U85" s="398"/>
    </row>
    <row r="86" spans="1:20" ht="12.75">
      <c r="A86" s="53"/>
      <c r="B86" s="55">
        <v>223</v>
      </c>
      <c r="C86" s="53" t="s">
        <v>104</v>
      </c>
      <c r="D86" s="12"/>
      <c r="E86" s="12"/>
      <c r="F86" s="13"/>
      <c r="G86" s="57">
        <f>SUM(G88:G94)</f>
        <v>14606</v>
      </c>
      <c r="H86" s="56">
        <f>H87+H94</f>
        <v>14040</v>
      </c>
      <c r="I86" s="57">
        <f>I87+I94</f>
        <v>17638</v>
      </c>
      <c r="J86" s="56">
        <f>SUM(J88:J94)</f>
        <v>10630</v>
      </c>
      <c r="K86" s="56">
        <f>SUM(K88:K94)</f>
        <v>17674</v>
      </c>
      <c r="L86" s="56">
        <f>SUM(L88:L94)</f>
        <v>17574</v>
      </c>
      <c r="M86" s="200">
        <f>SUM(M88:M94)</f>
        <v>2071</v>
      </c>
      <c r="N86" s="434">
        <f aca="true" t="shared" si="27" ref="N86:N91">SUM(M86/L86)*100</f>
        <v>11.784454307499717</v>
      </c>
      <c r="O86" s="200">
        <f>SUM(O88:O94)</f>
        <v>2745</v>
      </c>
      <c r="P86" s="434">
        <f aca="true" t="shared" si="28" ref="P86:P91">SUM(O86/L86)*100</f>
        <v>15.619665414817344</v>
      </c>
      <c r="Q86" s="56">
        <f>SUM(Q88:Q94)</f>
        <v>3504</v>
      </c>
      <c r="R86" s="541">
        <f aca="true" t="shared" si="29" ref="R86:R91">SUM(Q86/L86)*100</f>
        <v>19.938545578695802</v>
      </c>
      <c r="S86" s="200">
        <f>SUM(S88:S94)</f>
        <v>12685</v>
      </c>
      <c r="T86" s="434">
        <f aca="true" t="shared" si="30" ref="T86:T93">SUM(S86/L86)*100</f>
        <v>72.1804939114601</v>
      </c>
    </row>
    <row r="87" spans="1:20" ht="12.75">
      <c r="A87" s="53"/>
      <c r="B87" s="24">
        <v>223001</v>
      </c>
      <c r="C87" s="23" t="s">
        <v>105</v>
      </c>
      <c r="D87" s="12"/>
      <c r="E87" s="12"/>
      <c r="F87" s="13"/>
      <c r="G87" s="52">
        <f>SUM(G88:G93)</f>
        <v>7754</v>
      </c>
      <c r="H87" s="26">
        <f>SUM(H88:H93)</f>
        <v>7632</v>
      </c>
      <c r="I87" s="52">
        <f>SUM(I88:I93)</f>
        <v>7732</v>
      </c>
      <c r="J87" s="26">
        <f>SUM(J88:J93)</f>
        <v>4237</v>
      </c>
      <c r="K87" s="26">
        <f>SUM(K88:K91)</f>
        <v>1290</v>
      </c>
      <c r="L87" s="26">
        <f>SUM(L88:L91)</f>
        <v>1290</v>
      </c>
      <c r="M87" s="25">
        <f>SUM(M88:M91)</f>
        <v>382</v>
      </c>
      <c r="N87" s="430">
        <f t="shared" si="27"/>
        <v>29.612403100775193</v>
      </c>
      <c r="O87" s="25">
        <f>SUM(O88:O91)</f>
        <v>503</v>
      </c>
      <c r="P87" s="430">
        <f t="shared" si="28"/>
        <v>38.992248062015506</v>
      </c>
      <c r="Q87" s="26">
        <f>SUM(Q88:Q91)</f>
        <v>710</v>
      </c>
      <c r="R87" s="537">
        <f t="shared" si="29"/>
        <v>55.03875968992248</v>
      </c>
      <c r="S87" s="25">
        <f>SUM(S88:S91)</f>
        <v>741</v>
      </c>
      <c r="T87" s="430">
        <f t="shared" si="30"/>
        <v>57.44186046511628</v>
      </c>
    </row>
    <row r="88" spans="1:20" ht="12.75">
      <c r="A88" s="14"/>
      <c r="B88" s="12"/>
      <c r="C88" s="67" t="s">
        <v>106</v>
      </c>
      <c r="D88" s="12"/>
      <c r="E88" s="12"/>
      <c r="F88" s="13"/>
      <c r="G88" s="59">
        <v>13</v>
      </c>
      <c r="H88" s="60">
        <v>0</v>
      </c>
      <c r="I88" s="59">
        <v>100</v>
      </c>
      <c r="J88" s="60">
        <v>57</v>
      </c>
      <c r="K88" s="60">
        <v>100</v>
      </c>
      <c r="L88" s="60">
        <v>100</v>
      </c>
      <c r="M88" s="398">
        <v>18</v>
      </c>
      <c r="N88" s="441">
        <f t="shared" si="27"/>
        <v>18</v>
      </c>
      <c r="O88" s="398">
        <v>18</v>
      </c>
      <c r="P88" s="441">
        <f t="shared" si="28"/>
        <v>18</v>
      </c>
      <c r="Q88" s="60">
        <v>18</v>
      </c>
      <c r="R88" s="662">
        <f t="shared" si="29"/>
        <v>18</v>
      </c>
      <c r="S88" s="398">
        <v>18</v>
      </c>
      <c r="T88" s="441">
        <f t="shared" si="30"/>
        <v>18</v>
      </c>
    </row>
    <row r="89" spans="1:20" ht="12.75">
      <c r="A89" s="89"/>
      <c r="B89" s="12"/>
      <c r="C89" s="67" t="s">
        <v>107</v>
      </c>
      <c r="D89" s="12"/>
      <c r="E89" s="12"/>
      <c r="F89" s="13"/>
      <c r="G89" s="59">
        <v>86</v>
      </c>
      <c r="H89" s="60">
        <v>90</v>
      </c>
      <c r="I89" s="59">
        <v>90</v>
      </c>
      <c r="J89" s="60">
        <v>53</v>
      </c>
      <c r="K89" s="60">
        <v>100</v>
      </c>
      <c r="L89" s="60">
        <v>100</v>
      </c>
      <c r="M89" s="398">
        <v>30</v>
      </c>
      <c r="N89" s="441">
        <f t="shared" si="27"/>
        <v>30</v>
      </c>
      <c r="O89" s="398">
        <v>34</v>
      </c>
      <c r="P89" s="441">
        <f t="shared" si="28"/>
        <v>34</v>
      </c>
      <c r="Q89" s="60">
        <v>46</v>
      </c>
      <c r="R89" s="662">
        <f t="shared" si="29"/>
        <v>46</v>
      </c>
      <c r="S89" s="398">
        <v>50</v>
      </c>
      <c r="T89" s="441">
        <f t="shared" si="30"/>
        <v>50</v>
      </c>
    </row>
    <row r="90" spans="1:20" ht="12.75">
      <c r="A90" s="14"/>
      <c r="B90" s="12"/>
      <c r="C90" s="67" t="s">
        <v>108</v>
      </c>
      <c r="D90" s="12"/>
      <c r="E90" s="12"/>
      <c r="F90" s="13"/>
      <c r="G90" s="59">
        <v>693</v>
      </c>
      <c r="H90" s="60">
        <v>688</v>
      </c>
      <c r="I90" s="59">
        <v>688</v>
      </c>
      <c r="J90" s="60">
        <v>389</v>
      </c>
      <c r="K90" s="60">
        <v>1085</v>
      </c>
      <c r="L90" s="60">
        <v>1085</v>
      </c>
      <c r="M90" s="398">
        <v>332</v>
      </c>
      <c r="N90" s="441">
        <f t="shared" si="27"/>
        <v>30.599078341013826</v>
      </c>
      <c r="O90" s="398">
        <v>449</v>
      </c>
      <c r="P90" s="441">
        <f t="shared" si="28"/>
        <v>41.382488479262676</v>
      </c>
      <c r="Q90" s="60">
        <v>643</v>
      </c>
      <c r="R90" s="662">
        <f t="shared" si="29"/>
        <v>59.262672811059915</v>
      </c>
      <c r="S90" s="398">
        <v>670</v>
      </c>
      <c r="T90" s="441">
        <f t="shared" si="30"/>
        <v>61.75115207373272</v>
      </c>
    </row>
    <row r="91" spans="1:20" ht="12.75">
      <c r="A91" s="14"/>
      <c r="B91" s="12"/>
      <c r="C91" s="90" t="s">
        <v>109</v>
      </c>
      <c r="D91" s="12"/>
      <c r="E91" s="12"/>
      <c r="F91" s="13"/>
      <c r="G91" s="59">
        <v>0</v>
      </c>
      <c r="H91" s="60">
        <v>0</v>
      </c>
      <c r="I91" s="59">
        <v>0</v>
      </c>
      <c r="J91" s="60">
        <v>0</v>
      </c>
      <c r="K91" s="60">
        <v>5</v>
      </c>
      <c r="L91" s="60">
        <v>5</v>
      </c>
      <c r="M91" s="398">
        <v>2</v>
      </c>
      <c r="N91" s="441">
        <f t="shared" si="27"/>
        <v>40</v>
      </c>
      <c r="O91" s="398">
        <v>2</v>
      </c>
      <c r="P91" s="441">
        <f t="shared" si="28"/>
        <v>40</v>
      </c>
      <c r="Q91" s="60">
        <v>3</v>
      </c>
      <c r="R91" s="662">
        <f t="shared" si="29"/>
        <v>60</v>
      </c>
      <c r="S91" s="398">
        <v>3</v>
      </c>
      <c r="T91" s="441">
        <f t="shared" si="30"/>
        <v>60</v>
      </c>
    </row>
    <row r="92" spans="1:20" ht="12.75">
      <c r="A92" s="14"/>
      <c r="B92" s="12"/>
      <c r="C92" s="90" t="s">
        <v>551</v>
      </c>
      <c r="D92" s="12"/>
      <c r="E92" s="12"/>
      <c r="F92" s="13"/>
      <c r="G92" s="59"/>
      <c r="H92" s="60"/>
      <c r="I92" s="59"/>
      <c r="J92" s="60"/>
      <c r="K92" s="60"/>
      <c r="L92" s="60">
        <v>0</v>
      </c>
      <c r="M92" s="398"/>
      <c r="N92" s="441"/>
      <c r="O92" s="398"/>
      <c r="P92" s="441"/>
      <c r="Q92" s="60"/>
      <c r="R92" s="662"/>
      <c r="S92" s="398">
        <v>488</v>
      </c>
      <c r="T92" s="569"/>
    </row>
    <row r="93" spans="1:20" ht="12.75">
      <c r="A93" s="14"/>
      <c r="B93" s="12"/>
      <c r="C93" s="90" t="s">
        <v>110</v>
      </c>
      <c r="D93" s="12"/>
      <c r="E93" s="12"/>
      <c r="F93" s="13"/>
      <c r="G93" s="59">
        <v>6962</v>
      </c>
      <c r="H93" s="60">
        <v>6854</v>
      </c>
      <c r="I93" s="59">
        <v>6854</v>
      </c>
      <c r="J93" s="60">
        <v>3738</v>
      </c>
      <c r="K93" s="60">
        <v>6854</v>
      </c>
      <c r="L93" s="60">
        <v>6854</v>
      </c>
      <c r="M93" s="398"/>
      <c r="N93" s="441"/>
      <c r="O93" s="398"/>
      <c r="P93" s="569"/>
      <c r="Q93" s="60"/>
      <c r="R93" s="68"/>
      <c r="S93" s="398">
        <v>3884</v>
      </c>
      <c r="T93" s="441">
        <f t="shared" si="30"/>
        <v>56.66763933469506</v>
      </c>
    </row>
    <row r="94" spans="1:20" ht="12.75">
      <c r="A94" s="14"/>
      <c r="B94" s="12">
        <v>223002</v>
      </c>
      <c r="C94" s="23" t="s">
        <v>111</v>
      </c>
      <c r="D94" s="12"/>
      <c r="E94" s="12"/>
      <c r="F94" s="13"/>
      <c r="G94" s="91">
        <f aca="true" t="shared" si="31" ref="G94:S94">SUM(G95:G96)</f>
        <v>6852</v>
      </c>
      <c r="H94" s="92">
        <f t="shared" si="31"/>
        <v>6408</v>
      </c>
      <c r="I94" s="91">
        <f t="shared" si="31"/>
        <v>9906</v>
      </c>
      <c r="J94" s="92">
        <f t="shared" si="31"/>
        <v>6393</v>
      </c>
      <c r="K94" s="92">
        <f t="shared" si="31"/>
        <v>9530</v>
      </c>
      <c r="L94" s="92">
        <f t="shared" si="31"/>
        <v>9430</v>
      </c>
      <c r="M94" s="206">
        <f t="shared" si="31"/>
        <v>1689</v>
      </c>
      <c r="N94" s="430">
        <f>SUM(M94/L94)*100</f>
        <v>17.910922587486745</v>
      </c>
      <c r="O94" s="206">
        <f t="shared" si="31"/>
        <v>2242</v>
      </c>
      <c r="P94" s="430">
        <f>SUM(O94/L94)*100</f>
        <v>23.775185577942736</v>
      </c>
      <c r="Q94" s="92">
        <f t="shared" si="31"/>
        <v>2794</v>
      </c>
      <c r="R94" s="430">
        <f>SUM(Q94/L94)*100</f>
        <v>29.628844114528103</v>
      </c>
      <c r="S94" s="206">
        <f t="shared" si="31"/>
        <v>7572</v>
      </c>
      <c r="T94" s="430">
        <f>SUM(S94/L94)*100</f>
        <v>80.29692470837752</v>
      </c>
    </row>
    <row r="95" spans="1:21" ht="12.75">
      <c r="A95" s="14"/>
      <c r="B95" s="12"/>
      <c r="C95" s="23" t="s">
        <v>112</v>
      </c>
      <c r="D95" s="12"/>
      <c r="E95" s="12"/>
      <c r="F95" s="13"/>
      <c r="G95" s="59">
        <v>2318</v>
      </c>
      <c r="H95" s="60">
        <v>1028</v>
      </c>
      <c r="I95" s="59">
        <v>4901</v>
      </c>
      <c r="J95" s="60">
        <v>2604</v>
      </c>
      <c r="K95" s="60">
        <v>4400</v>
      </c>
      <c r="L95" s="60">
        <v>4300</v>
      </c>
      <c r="M95" s="398">
        <v>1689</v>
      </c>
      <c r="N95" s="441">
        <f>SUM(M95/L95)*100</f>
        <v>39.27906976744186</v>
      </c>
      <c r="O95" s="31">
        <v>2242</v>
      </c>
      <c r="P95" s="430">
        <f>SUM(O95/L95)*100</f>
        <v>52.13953488372093</v>
      </c>
      <c r="Q95" s="60">
        <v>2794</v>
      </c>
      <c r="R95" s="441">
        <f>SUM(Q95/L95)*100</f>
        <v>64.9767441860465</v>
      </c>
      <c r="S95" s="398">
        <v>2828</v>
      </c>
      <c r="T95" s="441">
        <f>SUM(S95/L95)*100</f>
        <v>65.76744186046511</v>
      </c>
      <c r="U95" s="398"/>
    </row>
    <row r="96" spans="1:21" ht="12.75">
      <c r="A96" s="14"/>
      <c r="B96" s="12"/>
      <c r="C96" s="23" t="s">
        <v>113</v>
      </c>
      <c r="D96" s="12"/>
      <c r="E96" s="12"/>
      <c r="F96" s="13"/>
      <c r="G96" s="59">
        <v>4534</v>
      </c>
      <c r="H96" s="60">
        <v>5380</v>
      </c>
      <c r="I96" s="59">
        <f>4565+440</f>
        <v>5005</v>
      </c>
      <c r="J96" s="60">
        <v>3789</v>
      </c>
      <c r="K96" s="60">
        <v>5130</v>
      </c>
      <c r="L96" s="60">
        <v>5130</v>
      </c>
      <c r="M96" s="398"/>
      <c r="N96" s="441"/>
      <c r="P96" s="547"/>
      <c r="Q96" s="60"/>
      <c r="R96" s="68"/>
      <c r="S96" s="398">
        <v>4744</v>
      </c>
      <c r="T96" s="441">
        <f>SUM(S96/L96)*100</f>
        <v>92.4756335282651</v>
      </c>
      <c r="U96" s="398"/>
    </row>
    <row r="97" spans="1:20" ht="12.75">
      <c r="A97" s="14"/>
      <c r="B97" s="55">
        <v>229</v>
      </c>
      <c r="C97" s="93" t="s">
        <v>114</v>
      </c>
      <c r="D97" s="55"/>
      <c r="E97" s="55"/>
      <c r="F97" s="54"/>
      <c r="G97" s="57">
        <f aca="true" t="shared" si="32" ref="G97:S97">G98</f>
        <v>16</v>
      </c>
      <c r="H97" s="56">
        <f t="shared" si="32"/>
        <v>20</v>
      </c>
      <c r="I97" s="57">
        <f t="shared" si="32"/>
        <v>20</v>
      </c>
      <c r="J97" s="56">
        <f t="shared" si="32"/>
        <v>17</v>
      </c>
      <c r="K97" s="56">
        <f t="shared" si="32"/>
        <v>20</v>
      </c>
      <c r="L97" s="56">
        <f t="shared" si="32"/>
        <v>20</v>
      </c>
      <c r="M97" s="200">
        <f t="shared" si="32"/>
        <v>7</v>
      </c>
      <c r="N97" s="434">
        <f aca="true" t="shared" si="33" ref="N97:N108">SUM(M97/L97)*100</f>
        <v>35</v>
      </c>
      <c r="O97" s="200">
        <f t="shared" si="32"/>
        <v>14</v>
      </c>
      <c r="P97" s="434">
        <f aca="true" t="shared" si="34" ref="P97:P108">SUM(O97/L97)*100</f>
        <v>70</v>
      </c>
      <c r="Q97" s="56">
        <f t="shared" si="32"/>
        <v>17</v>
      </c>
      <c r="R97" s="434">
        <f aca="true" t="shared" si="35" ref="R97:R105">SUM(Q97/L97)*100</f>
        <v>85</v>
      </c>
      <c r="S97" s="200">
        <f t="shared" si="32"/>
        <v>18</v>
      </c>
      <c r="T97" s="434">
        <f aca="true" t="shared" si="36" ref="T97:T105">SUM(S97/L97)*100</f>
        <v>90</v>
      </c>
    </row>
    <row r="98" spans="1:21" ht="12.75">
      <c r="A98" s="14"/>
      <c r="B98" s="12">
        <v>229005</v>
      </c>
      <c r="C98" s="11" t="s">
        <v>115</v>
      </c>
      <c r="D98" s="12"/>
      <c r="E98" s="12"/>
      <c r="F98" s="13"/>
      <c r="G98" s="91">
        <v>16</v>
      </c>
      <c r="H98" s="92">
        <v>20</v>
      </c>
      <c r="I98" s="91">
        <v>20</v>
      </c>
      <c r="J98" s="92">
        <v>17</v>
      </c>
      <c r="K98" s="60">
        <v>20</v>
      </c>
      <c r="L98" s="60">
        <v>20</v>
      </c>
      <c r="M98" s="389">
        <v>7</v>
      </c>
      <c r="N98" s="434">
        <f t="shared" si="33"/>
        <v>35</v>
      </c>
      <c r="O98" s="398">
        <v>14</v>
      </c>
      <c r="P98" s="441">
        <f t="shared" si="34"/>
        <v>70</v>
      </c>
      <c r="Q98" s="60">
        <v>17</v>
      </c>
      <c r="R98" s="441">
        <f t="shared" si="35"/>
        <v>85</v>
      </c>
      <c r="S98" s="398">
        <v>18</v>
      </c>
      <c r="T98" s="441">
        <f t="shared" si="36"/>
        <v>90</v>
      </c>
      <c r="U98" s="398"/>
    </row>
    <row r="99" spans="1:20" ht="12.75">
      <c r="A99" s="66"/>
      <c r="B99" s="49">
        <v>230</v>
      </c>
      <c r="C99" s="66" t="s">
        <v>34</v>
      </c>
      <c r="D99" s="12"/>
      <c r="E99" s="12"/>
      <c r="F99" s="13"/>
      <c r="G99" s="51">
        <f aca="true" t="shared" si="37" ref="G99:M99">G100+G101</f>
        <v>48570</v>
      </c>
      <c r="H99" s="50">
        <f t="shared" si="37"/>
        <v>69070</v>
      </c>
      <c r="I99" s="51">
        <f t="shared" si="37"/>
        <v>82282</v>
      </c>
      <c r="J99" s="50">
        <f t="shared" si="37"/>
        <v>7591</v>
      </c>
      <c r="K99" s="50">
        <f t="shared" si="37"/>
        <v>55611</v>
      </c>
      <c r="L99" s="50">
        <f t="shared" si="37"/>
        <v>189503</v>
      </c>
      <c r="M99" s="197">
        <f t="shared" si="37"/>
        <v>3309</v>
      </c>
      <c r="N99" s="433">
        <f t="shared" si="33"/>
        <v>1.7461464990000157</v>
      </c>
      <c r="O99" s="197">
        <f>O100+O101</f>
        <v>18195</v>
      </c>
      <c r="P99" s="433">
        <f t="shared" si="34"/>
        <v>9.60143111190852</v>
      </c>
      <c r="Q99" s="50">
        <f>Q100+Q101</f>
        <v>36717</v>
      </c>
      <c r="R99" s="433">
        <f t="shared" si="35"/>
        <v>19.37541885880435</v>
      </c>
      <c r="S99" s="197">
        <f>S100+S101</f>
        <v>38246</v>
      </c>
      <c r="T99" s="433">
        <f t="shared" si="36"/>
        <v>20.182266243806165</v>
      </c>
    </row>
    <row r="100" spans="1:20" ht="12.75">
      <c r="A100" s="53"/>
      <c r="B100" s="55">
        <v>231</v>
      </c>
      <c r="C100" s="53" t="s">
        <v>116</v>
      </c>
      <c r="D100" s="12"/>
      <c r="E100" s="12"/>
      <c r="F100" s="13"/>
      <c r="G100" s="52">
        <f>11835+27540</f>
        <v>39375</v>
      </c>
      <c r="H100" s="26">
        <v>2070</v>
      </c>
      <c r="I100" s="52">
        <v>6820</v>
      </c>
      <c r="J100" s="26">
        <f>1005+14</f>
        <v>1019</v>
      </c>
      <c r="K100" s="26">
        <f>1700+22500+8000</f>
        <v>32200</v>
      </c>
      <c r="L100" s="26">
        <v>166092</v>
      </c>
      <c r="M100" s="31">
        <v>2062</v>
      </c>
      <c r="N100" s="430">
        <f t="shared" si="33"/>
        <v>1.2414806251956747</v>
      </c>
      <c r="O100" s="31">
        <v>16113</v>
      </c>
      <c r="P100" s="430">
        <f t="shared" si="34"/>
        <v>9.701249909688606</v>
      </c>
      <c r="Q100" s="26">
        <v>22929</v>
      </c>
      <c r="R100" s="430">
        <f t="shared" si="35"/>
        <v>13.804999638754426</v>
      </c>
      <c r="S100" s="31">
        <v>35277</v>
      </c>
      <c r="T100" s="430">
        <f t="shared" si="36"/>
        <v>21.239433566938807</v>
      </c>
    </row>
    <row r="101" spans="1:20" ht="12.75">
      <c r="A101" s="53"/>
      <c r="B101" s="55">
        <v>233001</v>
      </c>
      <c r="C101" s="53" t="s">
        <v>117</v>
      </c>
      <c r="D101" s="12"/>
      <c r="E101" s="12"/>
      <c r="F101" s="13"/>
      <c r="G101" s="52">
        <v>9195</v>
      </c>
      <c r="H101" s="26">
        <f>7000+60000</f>
        <v>67000</v>
      </c>
      <c r="I101" s="52">
        <v>75462</v>
      </c>
      <c r="J101" s="26">
        <v>6572</v>
      </c>
      <c r="K101" s="26">
        <f>L101</f>
        <v>23411</v>
      </c>
      <c r="L101" s="26">
        <v>23411</v>
      </c>
      <c r="M101" s="31">
        <v>1247</v>
      </c>
      <c r="N101" s="430">
        <f t="shared" si="33"/>
        <v>5.326555892529153</v>
      </c>
      <c r="O101" s="31">
        <v>2082</v>
      </c>
      <c r="P101" s="430">
        <f t="shared" si="34"/>
        <v>8.89325530733416</v>
      </c>
      <c r="Q101" s="26">
        <v>13788</v>
      </c>
      <c r="R101" s="430">
        <f t="shared" si="35"/>
        <v>58.89539105548673</v>
      </c>
      <c r="S101" s="31">
        <v>2969</v>
      </c>
      <c r="T101" s="430">
        <f t="shared" si="36"/>
        <v>12.682072530007263</v>
      </c>
    </row>
    <row r="102" spans="1:20" ht="12.75">
      <c r="A102" s="96"/>
      <c r="B102" s="49">
        <v>240</v>
      </c>
      <c r="C102" s="66" t="s">
        <v>118</v>
      </c>
      <c r="D102" s="12"/>
      <c r="E102" s="12"/>
      <c r="F102" s="13"/>
      <c r="G102" s="51">
        <f aca="true" t="shared" si="38" ref="G102:S102">SUM(G103:G104)</f>
        <v>2118</v>
      </c>
      <c r="H102" s="50">
        <f t="shared" si="38"/>
        <v>1300</v>
      </c>
      <c r="I102" s="51">
        <f t="shared" si="38"/>
        <v>1300</v>
      </c>
      <c r="J102" s="50">
        <f t="shared" si="38"/>
        <v>541</v>
      </c>
      <c r="K102" s="50">
        <f t="shared" si="38"/>
        <v>1000</v>
      </c>
      <c r="L102" s="50">
        <f t="shared" si="38"/>
        <v>1000</v>
      </c>
      <c r="M102" s="197">
        <f t="shared" si="38"/>
        <v>187</v>
      </c>
      <c r="N102" s="433">
        <f t="shared" si="33"/>
        <v>18.7</v>
      </c>
      <c r="O102" s="197">
        <f t="shared" si="38"/>
        <v>285</v>
      </c>
      <c r="P102" s="433">
        <f t="shared" si="34"/>
        <v>28.499999999999996</v>
      </c>
      <c r="Q102" s="50">
        <f t="shared" si="38"/>
        <v>384</v>
      </c>
      <c r="R102" s="433">
        <f t="shared" si="35"/>
        <v>38.4</v>
      </c>
      <c r="S102" s="197">
        <f t="shared" si="38"/>
        <v>528</v>
      </c>
      <c r="T102" s="433">
        <f t="shared" si="36"/>
        <v>52.800000000000004</v>
      </c>
    </row>
    <row r="103" spans="1:20" ht="12.75">
      <c r="A103" s="53"/>
      <c r="B103" s="24">
        <v>242</v>
      </c>
      <c r="C103" s="23" t="s">
        <v>119</v>
      </c>
      <c r="D103" s="12"/>
      <c r="E103" s="12"/>
      <c r="F103" s="13"/>
      <c r="G103" s="52">
        <v>247</v>
      </c>
      <c r="H103" s="26">
        <v>300</v>
      </c>
      <c r="I103" s="52">
        <v>300</v>
      </c>
      <c r="J103" s="26">
        <v>280</v>
      </c>
      <c r="K103" s="26">
        <v>400</v>
      </c>
      <c r="L103" s="26">
        <v>400</v>
      </c>
      <c r="M103" s="31">
        <v>43</v>
      </c>
      <c r="N103" s="430">
        <f t="shared" si="33"/>
        <v>10.75</v>
      </c>
      <c r="O103" s="31">
        <v>66</v>
      </c>
      <c r="P103" s="430">
        <f t="shared" si="34"/>
        <v>16.5</v>
      </c>
      <c r="Q103" s="26">
        <v>88</v>
      </c>
      <c r="R103" s="430">
        <f t="shared" si="35"/>
        <v>22</v>
      </c>
      <c r="S103" s="31">
        <v>151</v>
      </c>
      <c r="T103" s="430">
        <f t="shared" si="36"/>
        <v>37.75</v>
      </c>
    </row>
    <row r="104" spans="1:20" ht="12.75">
      <c r="A104" s="53"/>
      <c r="B104" s="24">
        <v>244</v>
      </c>
      <c r="C104" s="71" t="s">
        <v>120</v>
      </c>
      <c r="D104" s="12"/>
      <c r="E104" s="12"/>
      <c r="F104" s="13"/>
      <c r="G104" s="52">
        <v>1871</v>
      </c>
      <c r="H104" s="26">
        <v>1000</v>
      </c>
      <c r="I104" s="52">
        <v>1000</v>
      </c>
      <c r="J104" s="26">
        <v>261</v>
      </c>
      <c r="K104" s="26">
        <v>600</v>
      </c>
      <c r="L104" s="26">
        <v>600</v>
      </c>
      <c r="M104" s="31">
        <v>144</v>
      </c>
      <c r="N104" s="430">
        <f t="shared" si="33"/>
        <v>24</v>
      </c>
      <c r="O104" s="31">
        <v>219</v>
      </c>
      <c r="P104" s="430">
        <f t="shared" si="34"/>
        <v>36.5</v>
      </c>
      <c r="Q104" s="26">
        <v>296</v>
      </c>
      <c r="R104" s="430">
        <f t="shared" si="35"/>
        <v>49.333333333333336</v>
      </c>
      <c r="S104" s="31">
        <v>377</v>
      </c>
      <c r="T104" s="430">
        <f t="shared" si="36"/>
        <v>62.83333333333333</v>
      </c>
    </row>
    <row r="105" spans="1:20" ht="12.75">
      <c r="A105" s="66"/>
      <c r="B105" s="49">
        <v>290</v>
      </c>
      <c r="C105" s="66" t="s">
        <v>121</v>
      </c>
      <c r="D105" s="12"/>
      <c r="E105" s="12"/>
      <c r="F105" s="13"/>
      <c r="G105" s="51">
        <f aca="true" t="shared" si="39" ref="G105:Q105">G107</f>
        <v>2057</v>
      </c>
      <c r="H105" s="50">
        <f t="shared" si="39"/>
        <v>550</v>
      </c>
      <c r="I105" s="51">
        <f t="shared" si="39"/>
        <v>882</v>
      </c>
      <c r="J105" s="50">
        <f t="shared" si="39"/>
        <v>1089</v>
      </c>
      <c r="K105" s="50">
        <f t="shared" si="39"/>
        <v>650</v>
      </c>
      <c r="L105" s="50">
        <f>SUM(L106+L107)</f>
        <v>2968</v>
      </c>
      <c r="M105" s="197">
        <f t="shared" si="39"/>
        <v>935</v>
      </c>
      <c r="N105" s="433">
        <f t="shared" si="33"/>
        <v>31.502695417789756</v>
      </c>
      <c r="O105" s="197" t="e">
        <f t="shared" si="39"/>
        <v>#REF!</v>
      </c>
      <c r="P105" s="433" t="e">
        <f t="shared" si="34"/>
        <v>#REF!</v>
      </c>
      <c r="Q105" s="50" t="e">
        <f t="shared" si="39"/>
        <v>#REF!</v>
      </c>
      <c r="R105" s="433" t="e">
        <f t="shared" si="35"/>
        <v>#REF!</v>
      </c>
      <c r="S105" s="542">
        <f>SUM(S106+S107)</f>
        <v>1772</v>
      </c>
      <c r="T105" s="540">
        <f t="shared" si="36"/>
        <v>59.703504043126685</v>
      </c>
    </row>
    <row r="106" spans="1:22" s="88" customFormat="1" ht="12.75">
      <c r="A106" s="53"/>
      <c r="B106" s="55">
        <v>291007</v>
      </c>
      <c r="C106" s="93" t="s">
        <v>904</v>
      </c>
      <c r="D106" s="55"/>
      <c r="E106" s="55"/>
      <c r="F106" s="54"/>
      <c r="G106" s="57"/>
      <c r="H106" s="56"/>
      <c r="I106" s="57"/>
      <c r="J106" s="56"/>
      <c r="K106" s="56"/>
      <c r="L106" s="56">
        <v>1547</v>
      </c>
      <c r="M106" s="200"/>
      <c r="N106" s="434"/>
      <c r="O106" s="200"/>
      <c r="P106" s="434"/>
      <c r="Q106" s="56"/>
      <c r="R106" s="434"/>
      <c r="S106" s="397">
        <v>387</v>
      </c>
      <c r="T106" s="434">
        <f>SUM(S106/L106)*100</f>
        <v>25.016160310277957</v>
      </c>
      <c r="U106" s="397"/>
      <c r="V106" s="397"/>
    </row>
    <row r="107" spans="1:20" ht="12.75">
      <c r="A107" s="53"/>
      <c r="B107" s="55">
        <v>292</v>
      </c>
      <c r="C107" s="53" t="s">
        <v>122</v>
      </c>
      <c r="D107" s="12"/>
      <c r="E107" s="12"/>
      <c r="F107" s="13"/>
      <c r="G107" s="52">
        <f>SUM(G108:G112)</f>
        <v>2057</v>
      </c>
      <c r="H107" s="26">
        <f>H108+H109+H112</f>
        <v>550</v>
      </c>
      <c r="I107" s="52">
        <f>SUM(I108:I112)</f>
        <v>882</v>
      </c>
      <c r="J107" s="26">
        <f>J108+J109+J112+J110+J111</f>
        <v>1089</v>
      </c>
      <c r="K107" s="26">
        <f>K108+K109+K112+K110</f>
        <v>650</v>
      </c>
      <c r="L107" s="56">
        <f>L108+L109+L112+L110</f>
        <v>1421</v>
      </c>
      <c r="M107" s="200">
        <f>M108+M109+M112+M110</f>
        <v>935</v>
      </c>
      <c r="N107" s="434">
        <f t="shared" si="33"/>
        <v>65.79873328641803</v>
      </c>
      <c r="O107" s="200" t="e">
        <f>O108+#REF!+O109+O110+O111+O112</f>
        <v>#REF!</v>
      </c>
      <c r="P107" s="434" t="e">
        <f t="shared" si="34"/>
        <v>#REF!</v>
      </c>
      <c r="Q107" s="56" t="e">
        <f>Q108+#REF!+Q109+Q110+Q111+Q112</f>
        <v>#REF!</v>
      </c>
      <c r="R107" s="434" t="e">
        <f>SUM(Q107/L107)*100</f>
        <v>#REF!</v>
      </c>
      <c r="S107" s="200">
        <f>S108+S109+S110+S111+S112</f>
        <v>1385</v>
      </c>
      <c r="T107" s="434">
        <f>SUM(S107/L107)*100</f>
        <v>97.46657283603096</v>
      </c>
    </row>
    <row r="108" spans="1:20" ht="12.75">
      <c r="A108" s="14"/>
      <c r="B108" s="12">
        <v>292027</v>
      </c>
      <c r="C108" s="23" t="s">
        <v>123</v>
      </c>
      <c r="D108" s="70"/>
      <c r="E108" s="70"/>
      <c r="F108" s="68"/>
      <c r="G108" s="91">
        <f>1+357-120</f>
        <v>238</v>
      </c>
      <c r="H108" s="92">
        <v>50</v>
      </c>
      <c r="I108" s="91">
        <v>50</v>
      </c>
      <c r="J108" s="92">
        <v>217</v>
      </c>
      <c r="K108" s="92">
        <v>50</v>
      </c>
      <c r="L108" s="26">
        <v>50</v>
      </c>
      <c r="M108" s="31">
        <v>22</v>
      </c>
      <c r="N108" s="430">
        <f t="shared" si="33"/>
        <v>44</v>
      </c>
      <c r="O108" s="31">
        <v>63</v>
      </c>
      <c r="P108" s="430">
        <f t="shared" si="34"/>
        <v>126</v>
      </c>
      <c r="Q108" s="26">
        <v>96</v>
      </c>
      <c r="R108" s="430">
        <f>SUM(Q108/L108)*100</f>
        <v>192</v>
      </c>
      <c r="S108" s="31">
        <v>267</v>
      </c>
      <c r="T108" s="430">
        <f>SUM(S108/L108)*100</f>
        <v>534</v>
      </c>
    </row>
    <row r="109" spans="1:20" ht="12.75">
      <c r="A109" s="14"/>
      <c r="B109" s="12">
        <v>292008</v>
      </c>
      <c r="C109" s="14" t="s">
        <v>124</v>
      </c>
      <c r="D109" s="12"/>
      <c r="E109" s="12"/>
      <c r="F109" s="13"/>
      <c r="G109" s="52">
        <v>588</v>
      </c>
      <c r="H109" s="26">
        <v>500</v>
      </c>
      <c r="I109" s="52">
        <v>500</v>
      </c>
      <c r="J109" s="26">
        <v>411</v>
      </c>
      <c r="K109" s="26">
        <v>600</v>
      </c>
      <c r="L109" s="26">
        <v>600</v>
      </c>
      <c r="M109" s="31">
        <v>307</v>
      </c>
      <c r="N109" s="430">
        <f>SUM(M109/L109)*100</f>
        <v>51.16666666666667</v>
      </c>
      <c r="O109" s="31">
        <v>396</v>
      </c>
      <c r="P109" s="430">
        <f>SUM(O109/L109)*100</f>
        <v>66</v>
      </c>
      <c r="Q109" s="26">
        <v>540</v>
      </c>
      <c r="R109" s="430">
        <f>SUM(Q109/L109)*100</f>
        <v>90</v>
      </c>
      <c r="S109" s="31">
        <v>596</v>
      </c>
      <c r="T109" s="430">
        <f>SUM(S109/L109)*100</f>
        <v>99.33333333333333</v>
      </c>
    </row>
    <row r="110" spans="1:20" ht="12.75">
      <c r="A110" s="97"/>
      <c r="B110" s="24">
        <v>292012</v>
      </c>
      <c r="C110" s="23" t="s">
        <v>125</v>
      </c>
      <c r="D110" s="12"/>
      <c r="E110" s="12"/>
      <c r="F110" s="13"/>
      <c r="G110" s="52">
        <v>120</v>
      </c>
      <c r="H110" s="26">
        <v>0</v>
      </c>
      <c r="I110" s="52">
        <v>0</v>
      </c>
      <c r="J110" s="26">
        <v>0</v>
      </c>
      <c r="K110" s="26">
        <v>0</v>
      </c>
      <c r="L110" s="26">
        <v>0</v>
      </c>
      <c r="M110" s="31">
        <v>603</v>
      </c>
      <c r="N110" s="425"/>
      <c r="O110" s="31">
        <v>297</v>
      </c>
      <c r="P110" s="547"/>
      <c r="Q110" s="26">
        <v>277</v>
      </c>
      <c r="R110" s="13"/>
      <c r="S110" s="31">
        <v>276</v>
      </c>
      <c r="T110" s="547"/>
    </row>
    <row r="111" spans="1:20" ht="12.75">
      <c r="A111" s="97"/>
      <c r="B111" s="24">
        <v>292019</v>
      </c>
      <c r="C111" s="23" t="s">
        <v>126</v>
      </c>
      <c r="D111" s="12"/>
      <c r="E111" s="12"/>
      <c r="F111" s="13"/>
      <c r="G111" s="52">
        <v>591</v>
      </c>
      <c r="H111" s="26">
        <v>0</v>
      </c>
      <c r="I111" s="52">
        <v>100</v>
      </c>
      <c r="J111" s="26">
        <v>0</v>
      </c>
      <c r="K111" s="26">
        <v>0</v>
      </c>
      <c r="L111" s="26">
        <v>0</v>
      </c>
      <c r="M111" s="31">
        <v>214</v>
      </c>
      <c r="N111" s="425"/>
      <c r="O111" s="31">
        <v>215</v>
      </c>
      <c r="P111" s="547"/>
      <c r="Q111" s="26">
        <v>246</v>
      </c>
      <c r="R111" s="13"/>
      <c r="S111" s="31">
        <v>246</v>
      </c>
      <c r="T111" s="547"/>
    </row>
    <row r="112" spans="1:20" ht="12.75">
      <c r="A112" s="97"/>
      <c r="B112" s="24">
        <v>292017</v>
      </c>
      <c r="C112" s="23" t="s">
        <v>127</v>
      </c>
      <c r="D112" s="12"/>
      <c r="E112" s="12"/>
      <c r="F112" s="13"/>
      <c r="G112" s="52">
        <v>520</v>
      </c>
      <c r="H112" s="26">
        <v>0</v>
      </c>
      <c r="I112" s="52">
        <v>232</v>
      </c>
      <c r="J112" s="26">
        <v>461</v>
      </c>
      <c r="K112" s="26">
        <v>0</v>
      </c>
      <c r="L112" s="26">
        <v>771</v>
      </c>
      <c r="M112" s="31">
        <v>3</v>
      </c>
      <c r="N112" s="425"/>
      <c r="O112" s="31">
        <v>3</v>
      </c>
      <c r="P112" s="547"/>
      <c r="Q112" s="26"/>
      <c r="R112" s="13"/>
      <c r="S112" s="31">
        <v>0</v>
      </c>
      <c r="T112" s="547"/>
    </row>
    <row r="113" spans="1:20" ht="14.25">
      <c r="A113" s="61"/>
      <c r="B113" s="63">
        <v>300</v>
      </c>
      <c r="C113" s="98" t="s">
        <v>128</v>
      </c>
      <c r="D113" s="12"/>
      <c r="E113" s="12"/>
      <c r="F113" s="13"/>
      <c r="G113" s="65">
        <f>SUM(G114:G143)</f>
        <v>225972</v>
      </c>
      <c r="H113" s="64">
        <f>SUM(H114:H129)+SUM(H136:H144)</f>
        <v>138186</v>
      </c>
      <c r="I113" s="65">
        <f>SUM(I114:I129)+SUM(I136:I144)</f>
        <v>143559</v>
      </c>
      <c r="J113" s="64">
        <f>SUM(J114:J144)-4</f>
        <v>74090</v>
      </c>
      <c r="K113" s="64">
        <f>SUM(K114:K129)+SUM(K136:K144)</f>
        <v>174389</v>
      </c>
      <c r="L113" s="64">
        <f>SUM(L114+L117+L136)</f>
        <v>326087</v>
      </c>
      <c r="M113" s="494">
        <f>SUM(M114+M117+M136)</f>
        <v>39521</v>
      </c>
      <c r="N113" s="516">
        <f>SUM(M113/L113)*100</f>
        <v>12.119771717363772</v>
      </c>
      <c r="O113" s="413">
        <f>SUM(O114+O117+O136)</f>
        <v>50939</v>
      </c>
      <c r="P113" s="432">
        <f>SUM(O113/L113)*100</f>
        <v>15.621291250494501</v>
      </c>
      <c r="Q113" s="64">
        <f>SUM(Q114+Q117+Q136)</f>
        <v>229837</v>
      </c>
      <c r="R113" s="432">
        <f>SUM(Q113/L113)*100</f>
        <v>70.48333726888836</v>
      </c>
      <c r="S113" s="413">
        <f>SUM(S114+S117+S136)</f>
        <v>230265</v>
      </c>
      <c r="T113" s="432">
        <f>SUM(S113/L113)*100</f>
        <v>70.61459058472126</v>
      </c>
    </row>
    <row r="114" spans="1:20" ht="14.25">
      <c r="A114" s="61"/>
      <c r="B114" s="24">
        <v>311</v>
      </c>
      <c r="C114" s="23" t="s">
        <v>129</v>
      </c>
      <c r="D114" s="12"/>
      <c r="E114" s="12"/>
      <c r="F114" s="13"/>
      <c r="G114" s="91">
        <v>718</v>
      </c>
      <c r="H114" s="92">
        <v>0</v>
      </c>
      <c r="I114" s="91">
        <f>105+100</f>
        <v>205</v>
      </c>
      <c r="J114" s="92">
        <v>115</v>
      </c>
      <c r="K114" s="92">
        <v>0</v>
      </c>
      <c r="L114" s="26">
        <v>0</v>
      </c>
      <c r="M114" s="416"/>
      <c r="N114" s="532"/>
      <c r="P114" s="547"/>
      <c r="Q114" s="26">
        <v>8</v>
      </c>
      <c r="R114" s="13"/>
      <c r="S114" s="25">
        <v>108</v>
      </c>
      <c r="T114" s="547"/>
    </row>
    <row r="115" spans="1:20" ht="14.25">
      <c r="A115" s="61"/>
      <c r="B115" s="24">
        <v>600700</v>
      </c>
      <c r="C115" s="23" t="s">
        <v>902</v>
      </c>
      <c r="D115" s="12"/>
      <c r="E115" s="12"/>
      <c r="F115" s="13"/>
      <c r="G115" s="91"/>
      <c r="H115" s="92"/>
      <c r="I115" s="91"/>
      <c r="J115" s="92"/>
      <c r="K115" s="92"/>
      <c r="L115" s="26">
        <v>0</v>
      </c>
      <c r="M115" s="416"/>
      <c r="N115" s="532"/>
      <c r="P115" s="547"/>
      <c r="Q115" s="26">
        <v>8</v>
      </c>
      <c r="R115" s="13"/>
      <c r="S115" s="31">
        <v>108</v>
      </c>
      <c r="T115" s="547"/>
    </row>
    <row r="116" spans="1:20" ht="14.25">
      <c r="A116" s="61"/>
      <c r="B116" s="24"/>
      <c r="C116" s="23"/>
      <c r="D116" s="12"/>
      <c r="E116" s="12"/>
      <c r="F116" s="13"/>
      <c r="G116" s="91"/>
      <c r="H116" s="92"/>
      <c r="I116" s="91"/>
      <c r="J116" s="92"/>
      <c r="K116" s="92"/>
      <c r="L116" s="26"/>
      <c r="M116" s="416"/>
      <c r="N116" s="532"/>
      <c r="P116" s="547"/>
      <c r="Q116" s="26"/>
      <c r="R116" s="13"/>
      <c r="T116" s="547"/>
    </row>
    <row r="117" spans="1:20" ht="14.25">
      <c r="A117" s="61"/>
      <c r="B117" s="24">
        <v>312001</v>
      </c>
      <c r="C117" s="23" t="s">
        <v>130</v>
      </c>
      <c r="D117" s="12"/>
      <c r="E117" s="12"/>
      <c r="F117" s="13"/>
      <c r="G117" s="91"/>
      <c r="H117" s="92"/>
      <c r="I117" s="91"/>
      <c r="J117" s="92"/>
      <c r="K117" s="92"/>
      <c r="L117" s="26">
        <f>SUM(L118:L129)</f>
        <v>149663</v>
      </c>
      <c r="M117" s="416">
        <f>SUM(M118:M129)</f>
        <v>39521</v>
      </c>
      <c r="N117" s="537">
        <f>SUM(M117/L117)*100</f>
        <v>26.406660296800144</v>
      </c>
      <c r="O117" s="25">
        <f>SUM(O118:O129)</f>
        <v>50939</v>
      </c>
      <c r="P117" s="430">
        <f>SUM(O117/L117)*100</f>
        <v>34.03580043163641</v>
      </c>
      <c r="Q117" s="26">
        <f>SUM(Q118:Q129)</f>
        <v>78404</v>
      </c>
      <c r="R117" s="430">
        <f>SUM(Q117/L117)*100</f>
        <v>52.38702952633584</v>
      </c>
      <c r="S117" s="25">
        <f>SUM(S118:S129)</f>
        <v>78467</v>
      </c>
      <c r="T117" s="430">
        <f aca="true" t="shared" si="40" ref="T117:T128">SUM(S117/L117)*100</f>
        <v>52.42912409880866</v>
      </c>
    </row>
    <row r="118" spans="1:20" ht="12.75">
      <c r="A118" s="97"/>
      <c r="B118" s="24"/>
      <c r="C118" s="23" t="s">
        <v>131</v>
      </c>
      <c r="D118" s="12"/>
      <c r="E118" s="12"/>
      <c r="F118" s="13"/>
      <c r="G118" s="52">
        <v>594</v>
      </c>
      <c r="H118" s="26">
        <v>845</v>
      </c>
      <c r="I118" s="52">
        <v>1249</v>
      </c>
      <c r="J118" s="26">
        <v>570</v>
      </c>
      <c r="K118" s="26">
        <v>1510</v>
      </c>
      <c r="L118" s="26">
        <v>1510</v>
      </c>
      <c r="M118" s="416">
        <v>431</v>
      </c>
      <c r="N118" s="537">
        <f>SUM(M118/L118)*100</f>
        <v>28.543046357615893</v>
      </c>
      <c r="O118" s="31">
        <v>507</v>
      </c>
      <c r="P118" s="430">
        <f>SUM(O118/L118)*100</f>
        <v>33.57615894039735</v>
      </c>
      <c r="Q118" s="26">
        <v>1054</v>
      </c>
      <c r="R118" s="430">
        <f>SUM(Q118/L118)*100</f>
        <v>69.80132450331126</v>
      </c>
      <c r="S118" s="31">
        <v>665</v>
      </c>
      <c r="T118" s="430">
        <f t="shared" si="40"/>
        <v>44.03973509933775</v>
      </c>
    </row>
    <row r="119" spans="1:20" ht="12.75">
      <c r="A119" s="97"/>
      <c r="B119" s="24"/>
      <c r="C119" s="23" t="s">
        <v>132</v>
      </c>
      <c r="D119" s="12"/>
      <c r="E119" s="12"/>
      <c r="F119" s="13"/>
      <c r="G119" s="52"/>
      <c r="H119" s="26">
        <v>0</v>
      </c>
      <c r="I119" s="52">
        <v>197</v>
      </c>
      <c r="J119" s="26">
        <v>0</v>
      </c>
      <c r="K119" s="26">
        <v>200</v>
      </c>
      <c r="L119" s="26">
        <v>200</v>
      </c>
      <c r="M119" s="416"/>
      <c r="N119" s="532"/>
      <c r="O119" s="31">
        <v>141</v>
      </c>
      <c r="P119" s="430">
        <f>SUM(O119/L119)*100</f>
        <v>70.5</v>
      </c>
      <c r="Q119" s="26">
        <v>183</v>
      </c>
      <c r="R119" s="430">
        <f>SUM(Q119/L119)*100</f>
        <v>91.5</v>
      </c>
      <c r="S119" s="31">
        <v>635</v>
      </c>
      <c r="T119" s="430">
        <f t="shared" si="40"/>
        <v>317.5</v>
      </c>
    </row>
    <row r="120" spans="1:20" ht="12.75">
      <c r="A120" s="97"/>
      <c r="B120" s="24"/>
      <c r="C120" s="23" t="s">
        <v>901</v>
      </c>
      <c r="D120" s="12"/>
      <c r="E120" s="12"/>
      <c r="F120" s="13"/>
      <c r="G120" s="52"/>
      <c r="H120" s="26"/>
      <c r="I120" s="52"/>
      <c r="J120" s="26"/>
      <c r="K120" s="26"/>
      <c r="L120" s="26">
        <v>80</v>
      </c>
      <c r="M120" s="416"/>
      <c r="N120" s="532"/>
      <c r="P120" s="430"/>
      <c r="Q120" s="26">
        <v>80</v>
      </c>
      <c r="R120" s="13"/>
      <c r="S120" s="31">
        <v>80</v>
      </c>
      <c r="T120" s="430">
        <f t="shared" si="40"/>
        <v>100</v>
      </c>
    </row>
    <row r="121" spans="1:20" ht="12.75">
      <c r="A121" s="97"/>
      <c r="B121" s="24"/>
      <c r="C121" s="71" t="s">
        <v>133</v>
      </c>
      <c r="D121" s="12"/>
      <c r="E121" s="12"/>
      <c r="F121" s="13"/>
      <c r="G121" s="52">
        <v>6711</v>
      </c>
      <c r="H121" s="26">
        <v>7042</v>
      </c>
      <c r="I121" s="52">
        <v>7019</v>
      </c>
      <c r="J121" s="26">
        <v>7019</v>
      </c>
      <c r="K121" s="26">
        <v>7019</v>
      </c>
      <c r="L121" s="26">
        <v>7278</v>
      </c>
      <c r="M121" s="416">
        <v>7543</v>
      </c>
      <c r="N121" s="537">
        <f>SUM(M121/L121)*100</f>
        <v>103.64111019510855</v>
      </c>
      <c r="O121" s="31">
        <v>7543</v>
      </c>
      <c r="P121" s="430">
        <f aca="true" t="shared" si="41" ref="P121:P127">SUM(O121/L121)*100</f>
        <v>103.64111019510855</v>
      </c>
      <c r="Q121" s="26">
        <v>7543</v>
      </c>
      <c r="R121" s="430">
        <f aca="true" t="shared" si="42" ref="R121:R128">SUM(Q121/L121)*100</f>
        <v>103.64111019510855</v>
      </c>
      <c r="S121" s="31">
        <v>7278</v>
      </c>
      <c r="T121" s="430">
        <f t="shared" si="40"/>
        <v>100</v>
      </c>
    </row>
    <row r="122" spans="1:20" ht="12.75">
      <c r="A122" s="97"/>
      <c r="B122" s="24"/>
      <c r="C122" s="23" t="s">
        <v>134</v>
      </c>
      <c r="D122" s="12"/>
      <c r="E122" s="12"/>
      <c r="F122" s="13"/>
      <c r="G122" s="52">
        <v>673</v>
      </c>
      <c r="H122" s="26">
        <v>0</v>
      </c>
      <c r="I122" s="52">
        <f>657+393</f>
        <v>1050</v>
      </c>
      <c r="J122" s="26">
        <v>1050</v>
      </c>
      <c r="K122" s="26">
        <v>1610</v>
      </c>
      <c r="L122" s="26">
        <v>1610</v>
      </c>
      <c r="M122" s="416">
        <v>828</v>
      </c>
      <c r="N122" s="537">
        <f>SUM(M122/L122)*100</f>
        <v>51.42857142857142</v>
      </c>
      <c r="O122" s="31">
        <v>949</v>
      </c>
      <c r="P122" s="430">
        <f t="shared" si="41"/>
        <v>58.94409937888199</v>
      </c>
      <c r="Q122" s="26">
        <v>1195</v>
      </c>
      <c r="R122" s="430">
        <f t="shared" si="42"/>
        <v>74.22360248447205</v>
      </c>
      <c r="S122" s="31">
        <v>1296</v>
      </c>
      <c r="T122" s="430">
        <f t="shared" si="40"/>
        <v>80.4968944099379</v>
      </c>
    </row>
    <row r="123" spans="1:20" ht="12.75">
      <c r="A123" s="97"/>
      <c r="B123" s="24"/>
      <c r="C123" s="71" t="s">
        <v>135</v>
      </c>
      <c r="D123" s="12"/>
      <c r="E123" s="12"/>
      <c r="F123" s="13"/>
      <c r="G123" s="52">
        <f>9+209851</f>
        <v>209860</v>
      </c>
      <c r="H123" s="26">
        <v>123476</v>
      </c>
      <c r="I123" s="52">
        <f>127944+3149</f>
        <v>131093</v>
      </c>
      <c r="J123" s="26">
        <v>63712</v>
      </c>
      <c r="K123" s="26">
        <f>134290+3377+797</f>
        <v>138464</v>
      </c>
      <c r="L123" s="26">
        <v>135158</v>
      </c>
      <c r="M123" s="416">
        <v>30323</v>
      </c>
      <c r="N123" s="537">
        <f>SUM(M123/L123)*100</f>
        <v>22.435223960105947</v>
      </c>
      <c r="O123" s="31">
        <v>40491</v>
      </c>
      <c r="P123" s="430">
        <f t="shared" si="41"/>
        <v>29.958271060536557</v>
      </c>
      <c r="Q123" s="26">
        <v>66535</v>
      </c>
      <c r="R123" s="430">
        <f t="shared" si="42"/>
        <v>49.227570695038395</v>
      </c>
      <c r="S123" s="31">
        <v>66545</v>
      </c>
      <c r="T123" s="430">
        <f t="shared" si="40"/>
        <v>49.234969443170215</v>
      </c>
    </row>
    <row r="124" spans="1:20" ht="12.75">
      <c r="A124" s="97"/>
      <c r="B124" s="24"/>
      <c r="C124" s="71" t="s">
        <v>136</v>
      </c>
      <c r="D124" s="12"/>
      <c r="E124" s="12"/>
      <c r="F124" s="13"/>
      <c r="G124" s="52">
        <v>412</v>
      </c>
      <c r="H124" s="26">
        <v>880</v>
      </c>
      <c r="I124" s="52">
        <v>880</v>
      </c>
      <c r="J124" s="26">
        <v>379</v>
      </c>
      <c r="K124" s="26">
        <v>880</v>
      </c>
      <c r="L124" s="26">
        <v>880</v>
      </c>
      <c r="M124" s="416">
        <v>243</v>
      </c>
      <c r="N124" s="537">
        <f>SUM(M124/L124)*100</f>
        <v>27.613636363636363</v>
      </c>
      <c r="O124" s="31">
        <v>324</v>
      </c>
      <c r="P124" s="430">
        <f t="shared" si="41"/>
        <v>36.81818181818181</v>
      </c>
      <c r="Q124" s="26">
        <v>486</v>
      </c>
      <c r="R124" s="430">
        <f t="shared" si="42"/>
        <v>55.22727272727273</v>
      </c>
      <c r="S124" s="31">
        <v>486</v>
      </c>
      <c r="T124" s="430">
        <f t="shared" si="40"/>
        <v>55.22727272727273</v>
      </c>
    </row>
    <row r="125" spans="1:20" ht="12.75">
      <c r="A125" s="97"/>
      <c r="B125" s="24"/>
      <c r="C125" s="71" t="s">
        <v>137</v>
      </c>
      <c r="D125" s="12"/>
      <c r="E125" s="12"/>
      <c r="F125" s="13"/>
      <c r="G125" s="52">
        <v>719</v>
      </c>
      <c r="H125" s="26">
        <v>730</v>
      </c>
      <c r="I125" s="52">
        <v>727</v>
      </c>
      <c r="J125" s="26">
        <v>363</v>
      </c>
      <c r="K125" s="26">
        <v>727</v>
      </c>
      <c r="L125" s="26">
        <v>727</v>
      </c>
      <c r="M125" s="416">
        <v>153</v>
      </c>
      <c r="N125" s="537">
        <f>SUM(M125/L125)*100</f>
        <v>21.04539202200825</v>
      </c>
      <c r="O125" s="31">
        <v>205</v>
      </c>
      <c r="P125" s="430">
        <f t="shared" si="41"/>
        <v>28.198074277854197</v>
      </c>
      <c r="Q125" s="26">
        <v>256</v>
      </c>
      <c r="R125" s="430">
        <f t="shared" si="42"/>
        <v>35.213204951856945</v>
      </c>
      <c r="S125" s="31">
        <v>307</v>
      </c>
      <c r="T125" s="430">
        <f t="shared" si="40"/>
        <v>42.2283356258597</v>
      </c>
    </row>
    <row r="126" spans="1:20" ht="12.75">
      <c r="A126" s="97"/>
      <c r="B126" s="91"/>
      <c r="C126" s="71" t="s">
        <v>138</v>
      </c>
      <c r="D126" s="12"/>
      <c r="E126" s="12"/>
      <c r="F126" s="13"/>
      <c r="G126" s="52">
        <v>615</v>
      </c>
      <c r="H126" s="26">
        <f>661+84</f>
        <v>745</v>
      </c>
      <c r="I126" s="52">
        <f>661+84</f>
        <v>745</v>
      </c>
      <c r="J126" s="26">
        <v>685</v>
      </c>
      <c r="K126" s="26">
        <v>1369</v>
      </c>
      <c r="L126" s="26">
        <f>SUM(K126)</f>
        <v>1369</v>
      </c>
      <c r="M126" s="416"/>
      <c r="N126" s="532"/>
      <c r="O126" s="31">
        <v>412</v>
      </c>
      <c r="P126" s="430">
        <f t="shared" si="41"/>
        <v>30.094959824689553</v>
      </c>
      <c r="Q126" s="26">
        <v>514</v>
      </c>
      <c r="R126" s="430">
        <f t="shared" si="42"/>
        <v>37.54565376186998</v>
      </c>
      <c r="S126" s="31">
        <v>617</v>
      </c>
      <c r="T126" s="430">
        <f t="shared" si="40"/>
        <v>45.06939371804236</v>
      </c>
    </row>
    <row r="127" spans="1:20" ht="12.75">
      <c r="A127" s="97"/>
      <c r="B127" s="91"/>
      <c r="C127" s="23" t="s">
        <v>139</v>
      </c>
      <c r="D127" s="12"/>
      <c r="E127" s="12"/>
      <c r="F127" s="13"/>
      <c r="G127" s="52">
        <v>269</v>
      </c>
      <c r="H127" s="26">
        <v>270</v>
      </c>
      <c r="I127" s="52">
        <v>394</v>
      </c>
      <c r="J127" s="26">
        <v>197</v>
      </c>
      <c r="K127" s="26">
        <v>394</v>
      </c>
      <c r="L127" s="26">
        <v>593</v>
      </c>
      <c r="M127" s="416"/>
      <c r="N127" s="532"/>
      <c r="O127" s="31">
        <v>367</v>
      </c>
      <c r="P127" s="430">
        <f t="shared" si="41"/>
        <v>61.88870151770658</v>
      </c>
      <c r="Q127" s="26">
        <v>367</v>
      </c>
      <c r="R127" s="430">
        <f t="shared" si="42"/>
        <v>61.88870151770658</v>
      </c>
      <c r="S127" s="31">
        <v>367</v>
      </c>
      <c r="T127" s="430">
        <f t="shared" si="40"/>
        <v>61.88870151770658</v>
      </c>
    </row>
    <row r="128" spans="1:20" ht="12.75">
      <c r="A128" s="97"/>
      <c r="B128" s="91"/>
      <c r="C128" s="23" t="s">
        <v>691</v>
      </c>
      <c r="D128" s="12"/>
      <c r="E128" s="12"/>
      <c r="F128" s="13"/>
      <c r="G128" s="52">
        <v>802</v>
      </c>
      <c r="H128" s="26">
        <v>0</v>
      </c>
      <c r="I128" s="52">
        <v>0</v>
      </c>
      <c r="J128" s="26">
        <v>0</v>
      </c>
      <c r="K128" s="26">
        <v>0</v>
      </c>
      <c r="L128" s="26">
        <v>191</v>
      </c>
      <c r="M128" s="416"/>
      <c r="N128" s="532"/>
      <c r="P128" s="547"/>
      <c r="Q128" s="26">
        <v>191</v>
      </c>
      <c r="R128" s="430">
        <f t="shared" si="42"/>
        <v>100</v>
      </c>
      <c r="S128" s="31">
        <v>191</v>
      </c>
      <c r="T128" s="430">
        <f t="shared" si="40"/>
        <v>100</v>
      </c>
    </row>
    <row r="129" spans="1:20" ht="13.5" thickBot="1">
      <c r="A129" s="14"/>
      <c r="B129" s="12"/>
      <c r="C129" s="23" t="s">
        <v>692</v>
      </c>
      <c r="D129" s="12"/>
      <c r="E129" s="12"/>
      <c r="F129" s="13"/>
      <c r="G129" s="52">
        <f>0+70</f>
        <v>70</v>
      </c>
      <c r="H129" s="26">
        <v>0</v>
      </c>
      <c r="I129" s="52">
        <v>0</v>
      </c>
      <c r="J129" s="26">
        <v>0</v>
      </c>
      <c r="K129" s="26">
        <v>0</v>
      </c>
      <c r="L129" s="26">
        <v>67</v>
      </c>
      <c r="M129" s="416"/>
      <c r="N129" s="532"/>
      <c r="P129" s="547"/>
      <c r="Q129" s="26"/>
      <c r="R129" s="13"/>
      <c r="S129" s="411">
        <v>0</v>
      </c>
      <c r="T129" s="548"/>
    </row>
    <row r="130" spans="1:18" ht="12.75">
      <c r="A130" s="4"/>
      <c r="B130" s="4"/>
      <c r="C130" s="168"/>
      <c r="D130" s="4"/>
      <c r="E130" s="4"/>
      <c r="F130" s="4"/>
      <c r="G130" s="419"/>
      <c r="H130" s="30"/>
      <c r="I130" s="419"/>
      <c r="J130" s="30"/>
      <c r="K130" s="403"/>
      <c r="L130" s="419"/>
      <c r="M130" s="666"/>
      <c r="N130" s="660"/>
      <c r="O130" s="419"/>
      <c r="P130" s="668"/>
      <c r="Q130" s="419"/>
      <c r="R130" s="4"/>
    </row>
    <row r="131" spans="1:18" ht="13.5" thickBot="1">
      <c r="A131" s="12"/>
      <c r="B131" s="12"/>
      <c r="C131" s="24"/>
      <c r="D131" s="12"/>
      <c r="E131" s="12"/>
      <c r="F131" s="12"/>
      <c r="G131" s="52"/>
      <c r="H131" s="26"/>
      <c r="I131" s="52"/>
      <c r="J131" s="26"/>
      <c r="K131" s="25"/>
      <c r="L131" s="52"/>
      <c r="M131" s="667"/>
      <c r="N131" s="532"/>
      <c r="P131" s="294"/>
      <c r="Q131" s="52"/>
      <c r="R131" s="12"/>
    </row>
    <row r="132" spans="1:20" ht="115.5" thickBot="1">
      <c r="A132" s="16" t="s">
        <v>42</v>
      </c>
      <c r="B132" s="78" t="s">
        <v>43</v>
      </c>
      <c r="C132" s="15" t="s">
        <v>44</v>
      </c>
      <c r="D132" s="4"/>
      <c r="E132" s="4"/>
      <c r="F132" s="4"/>
      <c r="G132" s="15" t="s">
        <v>23</v>
      </c>
      <c r="H132" s="79"/>
      <c r="I132" s="8" t="s">
        <v>24</v>
      </c>
      <c r="J132" s="80"/>
      <c r="K132" s="10" t="s">
        <v>25</v>
      </c>
      <c r="L132" s="238" t="s">
        <v>645</v>
      </c>
      <c r="M132" s="403" t="s">
        <v>296</v>
      </c>
      <c r="N132" s="421" t="s">
        <v>681</v>
      </c>
      <c r="O132" s="403" t="s">
        <v>296</v>
      </c>
      <c r="P132" s="421" t="s">
        <v>681</v>
      </c>
      <c r="Q132" s="403" t="s">
        <v>296</v>
      </c>
      <c r="R132" s="421" t="s">
        <v>681</v>
      </c>
      <c r="S132" s="403" t="s">
        <v>296</v>
      </c>
      <c r="T132" s="421" t="s">
        <v>681</v>
      </c>
    </row>
    <row r="133" spans="1:20" ht="13.5" thickBot="1">
      <c r="A133" s="32"/>
      <c r="B133" s="81"/>
      <c r="C133" s="33"/>
      <c r="D133" s="12"/>
      <c r="E133" s="12"/>
      <c r="F133" s="12"/>
      <c r="G133" s="11" t="s">
        <v>45</v>
      </c>
      <c r="H133" s="32" t="s">
        <v>27</v>
      </c>
      <c r="I133" s="34" t="s">
        <v>92</v>
      </c>
      <c r="J133" s="82" t="s">
        <v>29</v>
      </c>
      <c r="K133" s="33" t="s">
        <v>46</v>
      </c>
      <c r="L133" s="208"/>
      <c r="M133" s="25" t="s">
        <v>297</v>
      </c>
      <c r="N133" s="422"/>
      <c r="O133" s="25" t="s">
        <v>750</v>
      </c>
      <c r="P133" s="422"/>
      <c r="Q133" s="25" t="s">
        <v>896</v>
      </c>
      <c r="R133" s="422"/>
      <c r="S133" s="25" t="s">
        <v>957</v>
      </c>
      <c r="T133" s="422"/>
    </row>
    <row r="134" spans="1:20" ht="13.5" thickBot="1">
      <c r="A134" s="618" t="s">
        <v>47</v>
      </c>
      <c r="B134" s="619" t="s">
        <v>48</v>
      </c>
      <c r="C134" s="620" t="s">
        <v>49</v>
      </c>
      <c r="D134" s="138"/>
      <c r="E134" s="138"/>
      <c r="F134" s="138"/>
      <c r="G134" s="621">
        <v>1</v>
      </c>
      <c r="H134" s="621">
        <v>2</v>
      </c>
      <c r="I134" s="621">
        <v>3</v>
      </c>
      <c r="J134" s="621">
        <v>4</v>
      </c>
      <c r="K134" s="620">
        <v>1</v>
      </c>
      <c r="L134" s="622">
        <v>1</v>
      </c>
      <c r="M134" s="623"/>
      <c r="N134" s="424"/>
      <c r="O134" s="623"/>
      <c r="P134" s="424"/>
      <c r="Q134" s="659"/>
      <c r="R134" s="421"/>
      <c r="S134" s="409"/>
      <c r="T134" s="426"/>
    </row>
    <row r="135" spans="1:20" ht="12.75">
      <c r="A135" s="14"/>
      <c r="B135" s="12">
        <v>321</v>
      </c>
      <c r="C135" s="23" t="s">
        <v>694</v>
      </c>
      <c r="D135" s="12"/>
      <c r="E135" s="12"/>
      <c r="F135" s="13"/>
      <c r="G135" s="52"/>
      <c r="H135" s="26"/>
      <c r="I135" s="52"/>
      <c r="J135" s="26"/>
      <c r="K135" s="26"/>
      <c r="L135" s="26"/>
      <c r="M135" s="416"/>
      <c r="N135" s="532"/>
      <c r="P135" s="547"/>
      <c r="Q135" s="26"/>
      <c r="R135" s="6"/>
      <c r="T135" s="556"/>
    </row>
    <row r="136" spans="1:20" ht="12.75">
      <c r="A136" s="14"/>
      <c r="B136" s="12">
        <v>322001</v>
      </c>
      <c r="C136" s="11" t="s">
        <v>130</v>
      </c>
      <c r="D136" s="12"/>
      <c r="E136" s="12"/>
      <c r="F136" s="13"/>
      <c r="G136" s="52"/>
      <c r="H136" s="26"/>
      <c r="I136" s="52"/>
      <c r="J136" s="26"/>
      <c r="K136" s="26"/>
      <c r="L136" s="26">
        <f>SUM(L137:L144)</f>
        <v>176424</v>
      </c>
      <c r="M136" s="416">
        <f>SUM(M142:M143)</f>
        <v>0</v>
      </c>
      <c r="N136" s="532"/>
      <c r="P136" s="547"/>
      <c r="Q136" s="26">
        <f>SUM(Q137:Q144)</f>
        <v>151425</v>
      </c>
      <c r="R136" s="430">
        <f>SUM(Q136/L136)*100</f>
        <v>85.83015916201877</v>
      </c>
      <c r="S136" s="25">
        <f>SUM(S137:S144)</f>
        <v>151690</v>
      </c>
      <c r="T136" s="430">
        <f>SUM(S136/L136)*100</f>
        <v>85.98036548315422</v>
      </c>
    </row>
    <row r="137" spans="1:20" ht="12.75">
      <c r="A137" s="14"/>
      <c r="B137" s="12"/>
      <c r="C137" s="11" t="s">
        <v>905</v>
      </c>
      <c r="D137" s="12"/>
      <c r="E137" s="12"/>
      <c r="F137" s="13"/>
      <c r="G137" s="52"/>
      <c r="H137" s="26"/>
      <c r="I137" s="52"/>
      <c r="J137" s="26"/>
      <c r="K137" s="26"/>
      <c r="L137" s="26">
        <v>140</v>
      </c>
      <c r="M137" s="416"/>
      <c r="N137" s="532"/>
      <c r="P137" s="547"/>
      <c r="Q137" s="26"/>
      <c r="R137" s="430"/>
      <c r="S137" s="31">
        <v>0</v>
      </c>
      <c r="T137" s="547"/>
    </row>
    <row r="138" spans="1:20" ht="12.75">
      <c r="A138" s="14"/>
      <c r="B138" s="12"/>
      <c r="C138" s="11" t="s">
        <v>907</v>
      </c>
      <c r="D138" s="12"/>
      <c r="E138" s="12"/>
      <c r="F138" s="13"/>
      <c r="G138" s="52"/>
      <c r="H138" s="26"/>
      <c r="I138" s="52"/>
      <c r="J138" s="26"/>
      <c r="K138" s="26"/>
      <c r="L138" s="26">
        <v>1008</v>
      </c>
      <c r="M138" s="416"/>
      <c r="N138" s="532"/>
      <c r="P138" s="547"/>
      <c r="Q138" s="26"/>
      <c r="R138" s="430"/>
      <c r="S138" s="31">
        <v>0</v>
      </c>
      <c r="T138" s="547"/>
    </row>
    <row r="139" spans="1:20" ht="12.75">
      <c r="A139" s="14"/>
      <c r="B139" s="12"/>
      <c r="C139" s="11" t="s">
        <v>908</v>
      </c>
      <c r="D139" s="12"/>
      <c r="E139" s="12"/>
      <c r="F139" s="13"/>
      <c r="G139" s="52"/>
      <c r="H139" s="26"/>
      <c r="I139" s="52"/>
      <c r="J139" s="26"/>
      <c r="K139" s="26"/>
      <c r="L139" s="26">
        <v>1370</v>
      </c>
      <c r="M139" s="416"/>
      <c r="N139" s="532"/>
      <c r="P139" s="547"/>
      <c r="Q139" s="26"/>
      <c r="R139" s="430"/>
      <c r="S139" s="31">
        <v>0</v>
      </c>
      <c r="T139" s="547"/>
    </row>
    <row r="140" spans="1:20" ht="12.75">
      <c r="A140" s="14"/>
      <c r="B140" s="12"/>
      <c r="C140" s="11" t="s">
        <v>909</v>
      </c>
      <c r="D140" s="12"/>
      <c r="E140" s="12"/>
      <c r="F140" s="13"/>
      <c r="G140" s="52"/>
      <c r="H140" s="26"/>
      <c r="I140" s="52"/>
      <c r="J140" s="26"/>
      <c r="K140" s="26"/>
      <c r="L140" s="26">
        <v>265</v>
      </c>
      <c r="M140" s="416"/>
      <c r="N140" s="532"/>
      <c r="P140" s="547"/>
      <c r="Q140" s="26"/>
      <c r="R140" s="430"/>
      <c r="S140" s="31">
        <v>265</v>
      </c>
      <c r="T140" s="430">
        <f aca="true" t="shared" si="43" ref="T140:T145">SUM(S140/L140)*100</f>
        <v>100</v>
      </c>
    </row>
    <row r="141" spans="1:20" ht="12.75">
      <c r="A141" s="14"/>
      <c r="B141" s="12"/>
      <c r="C141" s="11" t="s">
        <v>910</v>
      </c>
      <c r="D141" s="12"/>
      <c r="E141" s="12"/>
      <c r="F141" s="13"/>
      <c r="G141" s="52"/>
      <c r="H141" s="26"/>
      <c r="I141" s="52"/>
      <c r="J141" s="26"/>
      <c r="K141" s="26"/>
      <c r="L141" s="26">
        <v>776</v>
      </c>
      <c r="M141" s="416"/>
      <c r="N141" s="532"/>
      <c r="P141" s="547"/>
      <c r="Q141" s="26"/>
      <c r="R141" s="430"/>
      <c r="S141" s="31">
        <v>776</v>
      </c>
      <c r="T141" s="430">
        <f t="shared" si="43"/>
        <v>100</v>
      </c>
    </row>
    <row r="142" spans="1:20" ht="12.75">
      <c r="A142" s="14"/>
      <c r="B142" s="12"/>
      <c r="C142" s="11" t="s">
        <v>693</v>
      </c>
      <c r="D142" s="12"/>
      <c r="E142" s="12"/>
      <c r="F142" s="13"/>
      <c r="G142" s="52">
        <v>4528</v>
      </c>
      <c r="H142" s="26">
        <v>4198</v>
      </c>
      <c r="I142" s="52">
        <v>0</v>
      </c>
      <c r="J142" s="26">
        <v>0</v>
      </c>
      <c r="K142" s="26">
        <v>22216</v>
      </c>
      <c r="L142" s="26">
        <v>22216</v>
      </c>
      <c r="M142" s="416"/>
      <c r="N142" s="532"/>
      <c r="P142" s="547"/>
      <c r="Q142" s="26">
        <v>776</v>
      </c>
      <c r="R142" s="430">
        <f>SUM(Q142/L142)*100</f>
        <v>3.4929780338494782</v>
      </c>
      <c r="S142" s="31">
        <v>0</v>
      </c>
      <c r="T142" s="430">
        <f t="shared" si="43"/>
        <v>0</v>
      </c>
    </row>
    <row r="143" spans="1:20" ht="12.75">
      <c r="A143" s="14"/>
      <c r="B143" s="12"/>
      <c r="C143" s="11" t="s">
        <v>906</v>
      </c>
      <c r="D143" s="12"/>
      <c r="E143" s="12"/>
      <c r="F143" s="13"/>
      <c r="G143" s="52">
        <v>0</v>
      </c>
      <c r="H143" s="26">
        <v>0</v>
      </c>
      <c r="I143" s="52">
        <v>0</v>
      </c>
      <c r="J143" s="26">
        <v>0</v>
      </c>
      <c r="K143" s="26">
        <v>0</v>
      </c>
      <c r="L143" s="26">
        <v>150439</v>
      </c>
      <c r="M143" s="416"/>
      <c r="N143" s="532"/>
      <c r="P143" s="547"/>
      <c r="Q143" s="26">
        <v>150439</v>
      </c>
      <c r="R143" s="430">
        <f>SUM(Q143/L143)*100</f>
        <v>100</v>
      </c>
      <c r="S143" s="31">
        <v>150439</v>
      </c>
      <c r="T143" s="430">
        <f t="shared" si="43"/>
        <v>100</v>
      </c>
    </row>
    <row r="144" spans="1:20" ht="12.75">
      <c r="A144" s="14"/>
      <c r="B144" s="12"/>
      <c r="C144" s="11" t="s">
        <v>901</v>
      </c>
      <c r="D144" s="12"/>
      <c r="E144" s="12"/>
      <c r="F144" s="13"/>
      <c r="G144" s="52"/>
      <c r="H144" s="26"/>
      <c r="I144" s="52"/>
      <c r="J144" s="26"/>
      <c r="K144" s="26"/>
      <c r="L144" s="26">
        <v>210</v>
      </c>
      <c r="M144" s="52"/>
      <c r="N144" s="532"/>
      <c r="P144" s="547"/>
      <c r="Q144" s="26">
        <v>210</v>
      </c>
      <c r="R144" s="13"/>
      <c r="S144" s="31">
        <v>210</v>
      </c>
      <c r="T144" s="430">
        <f t="shared" si="43"/>
        <v>100</v>
      </c>
    </row>
    <row r="145" spans="1:20" ht="14.25">
      <c r="A145" s="11"/>
      <c r="B145" s="61">
        <v>400</v>
      </c>
      <c r="C145" s="63" t="s">
        <v>145</v>
      </c>
      <c r="D145" s="63"/>
      <c r="E145" s="63"/>
      <c r="F145" s="63"/>
      <c r="G145" s="64">
        <f aca="true" t="shared" si="44" ref="G145:M145">SUM(G147:G148)</f>
        <v>66880</v>
      </c>
      <c r="H145" s="64">
        <f t="shared" si="44"/>
        <v>35376</v>
      </c>
      <c r="I145" s="64">
        <f t="shared" si="44"/>
        <v>86500</v>
      </c>
      <c r="J145" s="413">
        <f t="shared" si="44"/>
        <v>15246</v>
      </c>
      <c r="K145" s="64">
        <f t="shared" si="44"/>
        <v>51093</v>
      </c>
      <c r="L145" s="64">
        <f t="shared" si="44"/>
        <v>176306</v>
      </c>
      <c r="M145" s="413">
        <f t="shared" si="44"/>
        <v>1419</v>
      </c>
      <c r="N145" s="432">
        <f>SUM(M145/L145)*100</f>
        <v>0.8048506573797829</v>
      </c>
      <c r="O145" s="413">
        <f>SUM(O147:O148)</f>
        <v>4130</v>
      </c>
      <c r="P145" s="432">
        <f>SUM(O145/L145)*100</f>
        <v>2.3425181219016937</v>
      </c>
      <c r="Q145" s="64">
        <f>SUM(Q147:Q148)</f>
        <v>9392</v>
      </c>
      <c r="R145" s="516">
        <f>SUM(Q145/L145)*100</f>
        <v>5.327101743559493</v>
      </c>
      <c r="S145" s="413">
        <f>SUM(S147:S148)</f>
        <v>14813</v>
      </c>
      <c r="T145" s="432">
        <f t="shared" si="43"/>
        <v>8.401869476932152</v>
      </c>
    </row>
    <row r="146" spans="1:20" ht="14.25">
      <c r="A146" s="11"/>
      <c r="B146" s="14"/>
      <c r="C146" s="63" t="s">
        <v>146</v>
      </c>
      <c r="D146" s="12"/>
      <c r="E146" s="12"/>
      <c r="F146" s="12"/>
      <c r="G146" s="26"/>
      <c r="H146" s="26"/>
      <c r="I146" s="26"/>
      <c r="J146" s="52"/>
      <c r="K146" s="26"/>
      <c r="L146" s="26"/>
      <c r="N146" s="425"/>
      <c r="P146" s="547"/>
      <c r="R146" s="14"/>
      <c r="S146" s="25"/>
      <c r="T146" s="547"/>
    </row>
    <row r="147" spans="1:20" ht="12.75">
      <c r="A147" s="11"/>
      <c r="B147" s="14">
        <v>453</v>
      </c>
      <c r="C147" s="24" t="s">
        <v>147</v>
      </c>
      <c r="D147" s="12"/>
      <c r="E147" s="12"/>
      <c r="F147" s="12"/>
      <c r="G147" s="26">
        <f>15577+2237</f>
        <v>17814</v>
      </c>
      <c r="H147" s="26">
        <v>0</v>
      </c>
      <c r="I147" s="26">
        <v>1342</v>
      </c>
      <c r="J147" s="52">
        <v>1342</v>
      </c>
      <c r="K147" s="26">
        <v>802</v>
      </c>
      <c r="L147" s="26">
        <v>802</v>
      </c>
      <c r="N147" s="425"/>
      <c r="P147" s="547"/>
      <c r="R147" s="14"/>
      <c r="S147" s="25"/>
      <c r="T147" s="547"/>
    </row>
    <row r="148" spans="1:20" ht="12.75">
      <c r="A148" s="11"/>
      <c r="B148" s="14">
        <v>454</v>
      </c>
      <c r="C148" s="12" t="s">
        <v>148</v>
      </c>
      <c r="D148" s="12"/>
      <c r="E148" s="12"/>
      <c r="F148" s="12"/>
      <c r="G148" s="26">
        <f aca="true" t="shared" si="45" ref="G148:M148">SUM(G149:G151)</f>
        <v>49066</v>
      </c>
      <c r="H148" s="26">
        <f t="shared" si="45"/>
        <v>35376</v>
      </c>
      <c r="I148" s="26">
        <f t="shared" si="45"/>
        <v>85158</v>
      </c>
      <c r="J148" s="25">
        <f t="shared" si="45"/>
        <v>13904</v>
      </c>
      <c r="K148" s="26">
        <f t="shared" si="45"/>
        <v>50291</v>
      </c>
      <c r="L148" s="26">
        <f t="shared" si="45"/>
        <v>175504</v>
      </c>
      <c r="M148" s="25">
        <f t="shared" si="45"/>
        <v>1419</v>
      </c>
      <c r="N148" s="430">
        <f>SUM(M148/L148)*100</f>
        <v>0.8085285805451727</v>
      </c>
      <c r="O148" s="25">
        <f>SUM(O149:O151)</f>
        <v>4130</v>
      </c>
      <c r="P148" s="430">
        <f>SUM(O148/L148)*100</f>
        <v>2.353222718570517</v>
      </c>
      <c r="Q148" s="26">
        <f>SUM(Q149:Q151)</f>
        <v>9392</v>
      </c>
      <c r="R148" s="537">
        <f aca="true" t="shared" si="46" ref="R148:R153">SUM(Q148/L148)*100</f>
        <v>5.3514449813109675</v>
      </c>
      <c r="S148" s="25">
        <f>SUM(S149:S151)</f>
        <v>14813</v>
      </c>
      <c r="T148" s="430">
        <f>SUM(S148/L148)*100</f>
        <v>8.440263469778467</v>
      </c>
    </row>
    <row r="149" spans="1:20" ht="12.75">
      <c r="A149" s="11"/>
      <c r="B149" s="14"/>
      <c r="C149" s="68" t="s">
        <v>149</v>
      </c>
      <c r="D149" s="70"/>
      <c r="E149" s="70"/>
      <c r="F149" s="70"/>
      <c r="G149" s="60">
        <v>18402</v>
      </c>
      <c r="H149" s="60">
        <f>4162+3789+840+2333+3000+950+6787</f>
        <v>21861</v>
      </c>
      <c r="I149" s="60">
        <f>24484+402+1466</f>
        <v>26352</v>
      </c>
      <c r="J149" s="59">
        <v>4218</v>
      </c>
      <c r="K149" s="60">
        <f>13541+6750</f>
        <v>20291</v>
      </c>
      <c r="L149" s="60">
        <v>22740</v>
      </c>
      <c r="M149" s="398">
        <v>1419</v>
      </c>
      <c r="N149" s="441">
        <f>SUM(M149/L149)*100</f>
        <v>6.240105540897098</v>
      </c>
      <c r="O149" s="398">
        <v>3405</v>
      </c>
      <c r="P149" s="441">
        <f>SUM(O149/L149)*100</f>
        <v>14.973614775725594</v>
      </c>
      <c r="Q149" s="60">
        <v>5712</v>
      </c>
      <c r="R149" s="662">
        <f t="shared" si="46"/>
        <v>25.11873350923483</v>
      </c>
      <c r="S149" s="710">
        <v>11133</v>
      </c>
      <c r="T149" s="441">
        <f>SUM(S149/L149)*100</f>
        <v>48.95778364116095</v>
      </c>
    </row>
    <row r="150" spans="1:20" ht="12.75">
      <c r="A150" s="11"/>
      <c r="B150" s="14"/>
      <c r="C150" s="68" t="s">
        <v>150</v>
      </c>
      <c r="D150" s="70"/>
      <c r="E150" s="70"/>
      <c r="F150" s="70"/>
      <c r="G150" s="60">
        <v>3993</v>
      </c>
      <c r="H150" s="60">
        <v>0</v>
      </c>
      <c r="I150" s="60">
        <v>21</v>
      </c>
      <c r="J150" s="59">
        <v>21</v>
      </c>
      <c r="K150" s="60">
        <v>0</v>
      </c>
      <c r="L150" s="60">
        <v>9750</v>
      </c>
      <c r="M150" s="398"/>
      <c r="N150" s="441"/>
      <c r="O150" s="398">
        <v>725</v>
      </c>
      <c r="P150" s="441">
        <f>SUM(O150/L150)*100</f>
        <v>7.435897435897436</v>
      </c>
      <c r="Q150" s="60">
        <v>880</v>
      </c>
      <c r="R150" s="662">
        <f t="shared" si="46"/>
        <v>9.025641025641026</v>
      </c>
      <c r="S150" s="710">
        <v>880</v>
      </c>
      <c r="T150" s="441">
        <f>SUM(S150/L150)*100</f>
        <v>9.025641025641026</v>
      </c>
    </row>
    <row r="151" spans="1:20" ht="12.75">
      <c r="A151" s="11"/>
      <c r="B151" s="14"/>
      <c r="C151" s="68" t="s">
        <v>151</v>
      </c>
      <c r="D151" s="70"/>
      <c r="E151" s="70"/>
      <c r="F151" s="70"/>
      <c r="G151" s="60">
        <v>26671</v>
      </c>
      <c r="H151" s="60">
        <f>4800+8715</f>
        <v>13515</v>
      </c>
      <c r="I151" s="60">
        <v>58785</v>
      </c>
      <c r="J151" s="59">
        <v>9665</v>
      </c>
      <c r="K151" s="60">
        <v>30000</v>
      </c>
      <c r="L151" s="60">
        <v>143014</v>
      </c>
      <c r="M151" s="398"/>
      <c r="N151" s="441"/>
      <c r="O151" s="398"/>
      <c r="P151" s="569"/>
      <c r="Q151" s="60">
        <v>2800</v>
      </c>
      <c r="R151" s="662">
        <f t="shared" si="46"/>
        <v>1.9578502803921296</v>
      </c>
      <c r="S151" s="398">
        <v>2800</v>
      </c>
      <c r="T151" s="441">
        <f>SUM(S151/L151)*100</f>
        <v>1.9578502803921296</v>
      </c>
    </row>
    <row r="152" spans="1:20" ht="14.25">
      <c r="A152" s="98"/>
      <c r="B152" s="61">
        <v>500</v>
      </c>
      <c r="C152" s="62" t="s">
        <v>152</v>
      </c>
      <c r="D152" s="12"/>
      <c r="E152" s="12"/>
      <c r="F152" s="12"/>
      <c r="G152" s="64">
        <f>G153</f>
        <v>210074</v>
      </c>
      <c r="H152" s="64">
        <f>H153</f>
        <v>45500</v>
      </c>
      <c r="I152" s="64">
        <f>I153</f>
        <v>65201</v>
      </c>
      <c r="J152" s="65">
        <f>J153</f>
        <v>50295</v>
      </c>
      <c r="K152" s="64">
        <f>K153</f>
        <v>111000</v>
      </c>
      <c r="L152" s="64">
        <f>SUM(L153+L154)</f>
        <v>72761</v>
      </c>
      <c r="N152" s="425"/>
      <c r="P152" s="547"/>
      <c r="Q152" s="413">
        <f>SUM(Q153+Q154)</f>
        <v>2745</v>
      </c>
      <c r="R152" s="664">
        <f t="shared" si="46"/>
        <v>3.772625444949904</v>
      </c>
      <c r="S152" s="413">
        <f>SUM(S153+S154)</f>
        <v>2746</v>
      </c>
      <c r="T152" s="432">
        <f>SUM(S152/L152)*100</f>
        <v>3.7739998075892305</v>
      </c>
    </row>
    <row r="153" spans="1:20" ht="14.25">
      <c r="A153" s="125"/>
      <c r="B153" s="14">
        <v>513002</v>
      </c>
      <c r="C153" s="12" t="s">
        <v>153</v>
      </c>
      <c r="D153" s="12"/>
      <c r="E153" s="12"/>
      <c r="F153" s="12"/>
      <c r="G153" s="26">
        <v>210074</v>
      </c>
      <c r="H153" s="26">
        <f>38000+24000-16500</f>
        <v>45500</v>
      </c>
      <c r="I153" s="26">
        <v>65201</v>
      </c>
      <c r="J153" s="52">
        <v>50295</v>
      </c>
      <c r="K153" s="26">
        <v>111000</v>
      </c>
      <c r="L153" s="26">
        <v>70000</v>
      </c>
      <c r="N153" s="425"/>
      <c r="P153" s="547"/>
      <c r="Q153" s="31">
        <v>2745</v>
      </c>
      <c r="R153" s="665">
        <f t="shared" si="46"/>
        <v>3.9214285714285717</v>
      </c>
      <c r="T153" s="585"/>
    </row>
    <row r="154" spans="1:20" ht="15" thickBot="1">
      <c r="A154" s="125"/>
      <c r="B154" s="14"/>
      <c r="C154" s="12" t="s">
        <v>695</v>
      </c>
      <c r="D154" s="12"/>
      <c r="E154" s="12"/>
      <c r="F154" s="12"/>
      <c r="G154" s="26"/>
      <c r="H154" s="26"/>
      <c r="I154" s="26"/>
      <c r="J154" s="52"/>
      <c r="K154" s="26"/>
      <c r="L154" s="26">
        <v>2761</v>
      </c>
      <c r="N154" s="425"/>
      <c r="P154" s="547"/>
      <c r="R154" s="14"/>
      <c r="S154" s="31">
        <v>2746</v>
      </c>
      <c r="T154" s="585">
        <f>SUM(S154/L154)*100</f>
        <v>99.45671858022456</v>
      </c>
    </row>
    <row r="155" spans="1:20" ht="16.5" thickBot="1">
      <c r="A155" s="100"/>
      <c r="B155" s="101"/>
      <c r="C155" s="102" t="s">
        <v>301</v>
      </c>
      <c r="D155" s="103"/>
      <c r="E155" s="103"/>
      <c r="F155" s="103"/>
      <c r="G155" s="104">
        <f aca="true" t="shared" si="47" ref="G155:M155">G24+G51+G113</f>
        <v>469350</v>
      </c>
      <c r="H155" s="104">
        <f t="shared" si="47"/>
        <v>535895</v>
      </c>
      <c r="I155" s="104">
        <f t="shared" si="47"/>
        <v>573128</v>
      </c>
      <c r="J155" s="104">
        <f t="shared" si="47"/>
        <v>284591</v>
      </c>
      <c r="K155" s="104">
        <f t="shared" si="47"/>
        <v>594421</v>
      </c>
      <c r="L155" s="104">
        <f>L24+L51+L113+L145+L152</f>
        <v>1162273</v>
      </c>
      <c r="M155" s="407">
        <f t="shared" si="47"/>
        <v>146565</v>
      </c>
      <c r="N155" s="439">
        <f>SUM(M155/L155)*100</f>
        <v>12.610204315165197</v>
      </c>
      <c r="O155" s="407" t="e">
        <f>O24+O51+O113</f>
        <v>#REF!</v>
      </c>
      <c r="P155" s="439" t="e">
        <f>SUM(O155/L155)*100</f>
        <v>#REF!</v>
      </c>
      <c r="Q155" s="104" t="e">
        <f>Q24+Q51+Q113</f>
        <v>#REF!</v>
      </c>
      <c r="R155" s="439" t="e">
        <f>SUM(Q155/L155)*100</f>
        <v>#REF!</v>
      </c>
      <c r="S155" s="407">
        <f>S24+S51+S113+S145+S152</f>
        <v>508248</v>
      </c>
      <c r="T155" s="439">
        <f>SUM(S155/L155)*100</f>
        <v>43.728796934971385</v>
      </c>
    </row>
    <row r="156" spans="1:22" s="131" customFormat="1" ht="15.75">
      <c r="A156" s="737" t="s">
        <v>140</v>
      </c>
      <c r="B156" s="738"/>
      <c r="C156" s="739" t="s">
        <v>654</v>
      </c>
      <c r="D156" s="739"/>
      <c r="E156" s="739"/>
      <c r="F156" s="739"/>
      <c r="G156" s="740"/>
      <c r="H156" s="740"/>
      <c r="I156" s="740"/>
      <c r="J156" s="740"/>
      <c r="K156" s="740"/>
      <c r="L156" s="744">
        <v>913206</v>
      </c>
      <c r="M156" s="740"/>
      <c r="N156" s="741"/>
      <c r="O156" s="742"/>
      <c r="P156" s="743"/>
      <c r="Q156" s="744"/>
      <c r="R156" s="745"/>
      <c r="S156" s="740">
        <v>490689</v>
      </c>
      <c r="T156" s="745">
        <v>53.7</v>
      </c>
      <c r="U156" s="389"/>
      <c r="V156" s="389"/>
    </row>
    <row r="157" spans="1:22" s="131" customFormat="1" ht="12.75">
      <c r="A157" s="261"/>
      <c r="B157" s="261" t="s">
        <v>154</v>
      </c>
      <c r="C157" s="158" t="s">
        <v>655</v>
      </c>
      <c r="D157" s="158"/>
      <c r="E157" s="158"/>
      <c r="F157" s="345"/>
      <c r="G157" s="159"/>
      <c r="H157" s="159"/>
      <c r="I157" s="159"/>
      <c r="J157" s="159"/>
      <c r="K157" s="159"/>
      <c r="L157" s="746">
        <v>547279</v>
      </c>
      <c r="M157" s="91"/>
      <c r="N157" s="438"/>
      <c r="O157" s="92"/>
      <c r="P157" s="71"/>
      <c r="Q157" s="92">
        <v>289028</v>
      </c>
      <c r="R157" s="430">
        <f>SUM(Q157/L157)*100</f>
        <v>52.81181993096757</v>
      </c>
      <c r="S157" s="389">
        <v>300753</v>
      </c>
      <c r="T157" s="430">
        <f>SUM(S157/L157)*100</f>
        <v>54.954237235486836</v>
      </c>
      <c r="U157" s="389"/>
      <c r="V157" s="389"/>
    </row>
    <row r="158" spans="1:22" s="131" customFormat="1" ht="12.75">
      <c r="A158" s="261"/>
      <c r="B158" s="261"/>
      <c r="C158" s="158" t="s">
        <v>656</v>
      </c>
      <c r="D158" s="158"/>
      <c r="E158" s="158"/>
      <c r="F158" s="345"/>
      <c r="G158" s="159"/>
      <c r="H158" s="159"/>
      <c r="I158" s="159"/>
      <c r="J158" s="159"/>
      <c r="K158" s="159"/>
      <c r="L158" s="746">
        <v>365927</v>
      </c>
      <c r="M158" s="91"/>
      <c r="N158" s="438"/>
      <c r="O158" s="92"/>
      <c r="P158" s="71"/>
      <c r="Q158" s="92">
        <v>188142</v>
      </c>
      <c r="R158" s="430">
        <f>SUM(Q158/L158)*100</f>
        <v>51.415172971658286</v>
      </c>
      <c r="S158" s="389">
        <v>189936</v>
      </c>
      <c r="T158" s="430">
        <f>SUM(S158/L158)*100</f>
        <v>51.90543469052571</v>
      </c>
      <c r="U158" s="389"/>
      <c r="V158" s="389"/>
    </row>
    <row r="159" spans="1:22" s="748" customFormat="1" ht="16.5" thickBot="1">
      <c r="A159" s="481"/>
      <c r="B159" s="481"/>
      <c r="C159" s="106" t="s">
        <v>675</v>
      </c>
      <c r="D159" s="106"/>
      <c r="E159" s="106"/>
      <c r="F159" s="749"/>
      <c r="G159" s="107"/>
      <c r="H159" s="107"/>
      <c r="I159" s="107"/>
      <c r="J159" s="107"/>
      <c r="K159" s="107"/>
      <c r="L159" s="765">
        <v>249067</v>
      </c>
      <c r="M159" s="236"/>
      <c r="N159" s="750"/>
      <c r="O159" s="747"/>
      <c r="P159" s="751"/>
      <c r="Q159" s="747">
        <v>12137</v>
      </c>
      <c r="R159" s="736">
        <f>SUM(Q159/L159)*100</f>
        <v>4.872985983691136</v>
      </c>
      <c r="S159" s="401">
        <v>17559</v>
      </c>
      <c r="T159" s="736">
        <f>SUM(S159/L159)*100</f>
        <v>7.049910265109388</v>
      </c>
      <c r="U159" s="752"/>
      <c r="V159" s="752"/>
    </row>
    <row r="160" spans="1:22" s="12" customFormat="1" ht="15.75">
      <c r="A160" s="476"/>
      <c r="B160" s="476"/>
      <c r="C160" s="477"/>
      <c r="D160" s="476"/>
      <c r="E160" s="476"/>
      <c r="F160" s="476"/>
      <c r="G160" s="753"/>
      <c r="H160" s="753"/>
      <c r="I160" s="753"/>
      <c r="J160" s="753"/>
      <c r="K160" s="753"/>
      <c r="L160" s="753"/>
      <c r="M160" s="419"/>
      <c r="N160" s="490"/>
      <c r="O160" s="419"/>
      <c r="P160" s="4"/>
      <c r="Q160" s="754"/>
      <c r="R160" s="755"/>
      <c r="S160" s="754"/>
      <c r="T160" s="755"/>
      <c r="U160" s="52"/>
      <c r="V160" s="52"/>
    </row>
    <row r="161" spans="1:12" ht="15.75">
      <c r="A161" s="105"/>
      <c r="B161" s="105"/>
      <c r="C161" s="106"/>
      <c r="D161" s="105"/>
      <c r="E161" s="105"/>
      <c r="F161" s="105"/>
      <c r="G161" s="107"/>
      <c r="H161" s="107"/>
      <c r="I161" s="107"/>
      <c r="J161" s="107"/>
      <c r="K161" s="107"/>
      <c r="L161" s="107"/>
    </row>
    <row r="162" spans="1:12" ht="15.75">
      <c r="A162" s="105"/>
      <c r="B162" s="105"/>
      <c r="C162" s="106"/>
      <c r="D162" s="105"/>
      <c r="E162" s="105"/>
      <c r="F162" s="105"/>
      <c r="G162" s="107"/>
      <c r="H162" s="107"/>
      <c r="I162" s="107"/>
      <c r="J162" s="107"/>
      <c r="K162" s="107"/>
      <c r="L162" s="107"/>
    </row>
    <row r="163" spans="1:22" s="109" customFormat="1" ht="16.5" thickBot="1">
      <c r="A163" s="106" t="s">
        <v>657</v>
      </c>
      <c r="B163" s="106"/>
      <c r="C163" s="106"/>
      <c r="D163" s="106"/>
      <c r="E163" s="106"/>
      <c r="F163" s="106"/>
      <c r="G163" s="107"/>
      <c r="H163" s="107"/>
      <c r="I163" s="107"/>
      <c r="J163" s="107"/>
      <c r="K163" s="107"/>
      <c r="L163" s="107"/>
      <c r="M163" s="121"/>
      <c r="N163" s="711"/>
      <c r="O163" s="121"/>
      <c r="Q163" s="121"/>
      <c r="S163" s="121"/>
      <c r="U163" s="121"/>
      <c r="V163" s="121"/>
    </row>
    <row r="164" spans="1:20" ht="115.5" thickBot="1">
      <c r="A164" s="480"/>
      <c r="B164" s="763"/>
      <c r="C164" s="477"/>
      <c r="D164" s="476"/>
      <c r="E164" s="476"/>
      <c r="F164" s="478"/>
      <c r="G164" s="15" t="s">
        <v>23</v>
      </c>
      <c r="H164" s="79"/>
      <c r="I164" s="8" t="s">
        <v>24</v>
      </c>
      <c r="J164" s="80"/>
      <c r="K164" s="10" t="s">
        <v>25</v>
      </c>
      <c r="L164" s="238" t="s">
        <v>645</v>
      </c>
      <c r="M164" s="403" t="s">
        <v>296</v>
      </c>
      <c r="N164" s="421" t="s">
        <v>681</v>
      </c>
      <c r="O164" s="403" t="s">
        <v>296</v>
      </c>
      <c r="P164" s="421" t="s">
        <v>681</v>
      </c>
      <c r="Q164" s="403" t="s">
        <v>296</v>
      </c>
      <c r="R164" s="421" t="s">
        <v>681</v>
      </c>
      <c r="S164" s="403" t="s">
        <v>296</v>
      </c>
      <c r="T164" s="421" t="s">
        <v>681</v>
      </c>
    </row>
    <row r="165" spans="1:20" ht="15.75" thickBot="1">
      <c r="A165" s="481"/>
      <c r="B165" s="11"/>
      <c r="C165" s="12"/>
      <c r="D165" s="105"/>
      <c r="E165" s="105"/>
      <c r="F165" s="479"/>
      <c r="G165" s="11" t="s">
        <v>45</v>
      </c>
      <c r="H165" s="32" t="s">
        <v>27</v>
      </c>
      <c r="I165" s="34" t="s">
        <v>92</v>
      </c>
      <c r="J165" s="108" t="s">
        <v>29</v>
      </c>
      <c r="K165" s="33" t="s">
        <v>46</v>
      </c>
      <c r="L165" s="208"/>
      <c r="M165" s="25" t="s">
        <v>297</v>
      </c>
      <c r="N165" s="422"/>
      <c r="O165" s="25" t="s">
        <v>750</v>
      </c>
      <c r="P165" s="422"/>
      <c r="Q165" s="25" t="s">
        <v>896</v>
      </c>
      <c r="R165" s="422"/>
      <c r="S165" s="25" t="s">
        <v>957</v>
      </c>
      <c r="T165" s="422"/>
    </row>
    <row r="166" spans="1:20" ht="12.75">
      <c r="A166" s="6"/>
      <c r="B166" s="756" t="s">
        <v>141</v>
      </c>
      <c r="C166" s="4"/>
      <c r="D166" s="4"/>
      <c r="E166" s="4"/>
      <c r="F166" s="5"/>
      <c r="G166" s="112">
        <f aca="true" t="shared" si="48" ref="G166:K167">G100</f>
        <v>39375</v>
      </c>
      <c r="H166" s="113">
        <f t="shared" si="48"/>
        <v>2070</v>
      </c>
      <c r="I166" s="113">
        <f t="shared" si="48"/>
        <v>6820</v>
      </c>
      <c r="J166" s="114">
        <f t="shared" si="48"/>
        <v>1019</v>
      </c>
      <c r="K166" s="115">
        <f t="shared" si="48"/>
        <v>32200</v>
      </c>
      <c r="L166" s="30">
        <v>166092</v>
      </c>
      <c r="M166" s="30">
        <f>M100</f>
        <v>2062</v>
      </c>
      <c r="N166" s="518">
        <f>SUM(M166/L166)*100</f>
        <v>1.2414806251956747</v>
      </c>
      <c r="O166" s="403"/>
      <c r="P166" s="556"/>
      <c r="Q166" s="403">
        <v>22929</v>
      </c>
      <c r="R166" s="518">
        <f>SUM(Q166/L166)*100</f>
        <v>13.804999638754426</v>
      </c>
      <c r="S166" s="415">
        <v>35277</v>
      </c>
      <c r="T166" s="709">
        <f>SUM(S166/L166)*100</f>
        <v>21.239433566938807</v>
      </c>
    </row>
    <row r="167" spans="1:20" ht="12.75">
      <c r="A167" s="14"/>
      <c r="B167" s="469" t="s">
        <v>142</v>
      </c>
      <c r="C167" s="12"/>
      <c r="D167" s="12"/>
      <c r="E167" s="12"/>
      <c r="F167" s="13"/>
      <c r="G167" s="116">
        <f t="shared" si="48"/>
        <v>9195</v>
      </c>
      <c r="H167" s="117">
        <f t="shared" si="48"/>
        <v>67000</v>
      </c>
      <c r="I167" s="117">
        <f t="shared" si="48"/>
        <v>75462</v>
      </c>
      <c r="J167" s="118">
        <f t="shared" si="48"/>
        <v>6572</v>
      </c>
      <c r="K167" s="119">
        <f t="shared" si="48"/>
        <v>23411</v>
      </c>
      <c r="L167" s="26">
        <f>L101</f>
        <v>23411</v>
      </c>
      <c r="M167" s="26">
        <f>M101</f>
        <v>1247</v>
      </c>
      <c r="N167" s="519">
        <f>SUM(M167/L167)*100</f>
        <v>5.326555892529153</v>
      </c>
      <c r="P167" s="547"/>
      <c r="Q167" s="31">
        <v>13788</v>
      </c>
      <c r="R167" s="519">
        <f>SUM(Q167/L167)*100</f>
        <v>58.89539105548673</v>
      </c>
      <c r="S167" s="416">
        <v>2969</v>
      </c>
      <c r="T167" s="537">
        <f>SUM(S167/L167)*100</f>
        <v>12.682072530007263</v>
      </c>
    </row>
    <row r="168" spans="1:20" ht="13.5" thickBot="1">
      <c r="A168" s="14"/>
      <c r="B168" s="469" t="s">
        <v>143</v>
      </c>
      <c r="C168" s="12"/>
      <c r="D168" s="12"/>
      <c r="E168" s="12"/>
      <c r="F168" s="13"/>
      <c r="G168" s="654">
        <f>SUM(G142:G143)+G129</f>
        <v>4598</v>
      </c>
      <c r="H168" s="655">
        <f>SUM(H142:H143)+H129</f>
        <v>4198</v>
      </c>
      <c r="I168" s="655">
        <f>SUM(I142:I143)+I129</f>
        <v>0</v>
      </c>
      <c r="J168" s="656">
        <f>SUM(J142:J143)+J129</f>
        <v>0</v>
      </c>
      <c r="K168" s="657">
        <f>SUM(K142:K143)+K129</f>
        <v>22216</v>
      </c>
      <c r="L168" s="26">
        <f>SUM(L136)</f>
        <v>176424</v>
      </c>
      <c r="M168" s="26">
        <f>SUM(M142:M143)+M129</f>
        <v>0</v>
      </c>
      <c r="N168" s="519">
        <f>SUM(M168/L168)*100</f>
        <v>0</v>
      </c>
      <c r="P168" s="547"/>
      <c r="Q168" s="31">
        <v>151425</v>
      </c>
      <c r="R168" s="519">
        <f>SUM(Q168/L168)*100</f>
        <v>85.83015916201877</v>
      </c>
      <c r="S168" s="416">
        <f>SUM(S136)</f>
        <v>151690</v>
      </c>
      <c r="T168" s="537">
        <f>SUM(S168/L168)*100</f>
        <v>85.98036548315422</v>
      </c>
    </row>
    <row r="169" spans="1:130" s="762" customFormat="1" ht="16.5" thickBot="1">
      <c r="A169" s="100"/>
      <c r="B169" s="172" t="s">
        <v>144</v>
      </c>
      <c r="C169" s="102"/>
      <c r="D169" s="102"/>
      <c r="E169" s="102"/>
      <c r="F169" s="514"/>
      <c r="G169" s="757">
        <f aca="true" t="shared" si="49" ref="G169:M169">SUM(G166:G168)</f>
        <v>53168</v>
      </c>
      <c r="H169" s="758">
        <f t="shared" si="49"/>
        <v>73268</v>
      </c>
      <c r="I169" s="758">
        <f t="shared" si="49"/>
        <v>82282</v>
      </c>
      <c r="J169" s="759">
        <f t="shared" si="49"/>
        <v>7591</v>
      </c>
      <c r="K169" s="760">
        <f t="shared" si="49"/>
        <v>77827</v>
      </c>
      <c r="L169" s="104">
        <f t="shared" si="49"/>
        <v>365927</v>
      </c>
      <c r="M169" s="104">
        <f t="shared" si="49"/>
        <v>3309</v>
      </c>
      <c r="N169" s="629">
        <f>SUM(M169/L169)*100</f>
        <v>0.9042787222588111</v>
      </c>
      <c r="O169" s="723"/>
      <c r="P169" s="761"/>
      <c r="Q169" s="407">
        <v>188142</v>
      </c>
      <c r="R169" s="629">
        <f>SUM(Q169/L169)*100</f>
        <v>51.415172971658286</v>
      </c>
      <c r="S169" s="104">
        <f>SUM(S166:S168)</f>
        <v>189936</v>
      </c>
      <c r="T169" s="629">
        <f>SUM(S169/L169)*100</f>
        <v>51.90543469052571</v>
      </c>
      <c r="U169" s="782"/>
      <c r="V169" s="782"/>
      <c r="W169" s="764"/>
      <c r="X169" s="764"/>
      <c r="Y169" s="764"/>
      <c r="Z169" s="764"/>
      <c r="AA169" s="764"/>
      <c r="AB169" s="764"/>
      <c r="AC169" s="764"/>
      <c r="AD169" s="764"/>
      <c r="AE169" s="764"/>
      <c r="AF169" s="764"/>
      <c r="AG169" s="764"/>
      <c r="AH169" s="764"/>
      <c r="AI169" s="764"/>
      <c r="AJ169" s="764"/>
      <c r="AK169" s="764"/>
      <c r="AL169" s="764"/>
      <c r="AM169" s="764"/>
      <c r="AN169" s="764"/>
      <c r="AO169" s="764"/>
      <c r="AP169" s="764"/>
      <c r="AQ169" s="764"/>
      <c r="AR169" s="764"/>
      <c r="AS169" s="764"/>
      <c r="AT169" s="764"/>
      <c r="AU169" s="764"/>
      <c r="AV169" s="764"/>
      <c r="AW169" s="764"/>
      <c r="AX169" s="764"/>
      <c r="AY169" s="764"/>
      <c r="AZ169" s="764"/>
      <c r="BA169" s="764"/>
      <c r="BB169" s="764"/>
      <c r="BC169" s="764"/>
      <c r="BD169" s="764"/>
      <c r="BE169" s="764"/>
      <c r="BF169" s="764"/>
      <c r="BG169" s="764"/>
      <c r="BH169" s="764"/>
      <c r="BI169" s="764"/>
      <c r="BJ169" s="764"/>
      <c r="BK169" s="764"/>
      <c r="BL169" s="764"/>
      <c r="BM169" s="764"/>
      <c r="BN169" s="764"/>
      <c r="BO169" s="764"/>
      <c r="BP169" s="764"/>
      <c r="BQ169" s="764"/>
      <c r="BR169" s="764"/>
      <c r="BS169" s="764"/>
      <c r="BT169" s="764"/>
      <c r="BU169" s="764"/>
      <c r="BV169" s="764"/>
      <c r="BW169" s="764"/>
      <c r="BX169" s="764"/>
      <c r="BY169" s="764"/>
      <c r="BZ169" s="764"/>
      <c r="CA169" s="764"/>
      <c r="CB169" s="764"/>
      <c r="CC169" s="764"/>
      <c r="CD169" s="764"/>
      <c r="CE169" s="764"/>
      <c r="CF169" s="764"/>
      <c r="CG169" s="764"/>
      <c r="CH169" s="764"/>
      <c r="CI169" s="764"/>
      <c r="CJ169" s="764"/>
      <c r="CK169" s="764"/>
      <c r="CL169" s="764"/>
      <c r="CM169" s="764"/>
      <c r="CN169" s="764"/>
      <c r="CO169" s="764"/>
      <c r="CP169" s="764"/>
      <c r="CQ169" s="764"/>
      <c r="CR169" s="764"/>
      <c r="CS169" s="764"/>
      <c r="CT169" s="764"/>
      <c r="CU169" s="764"/>
      <c r="CV169" s="764"/>
      <c r="CW169" s="764"/>
      <c r="CX169" s="764"/>
      <c r="CY169" s="764"/>
      <c r="CZ169" s="764"/>
      <c r="DA169" s="764"/>
      <c r="DB169" s="764"/>
      <c r="DC169" s="764"/>
      <c r="DD169" s="764"/>
      <c r="DE169" s="764"/>
      <c r="DF169" s="764"/>
      <c r="DG169" s="764"/>
      <c r="DH169" s="764"/>
      <c r="DI169" s="764"/>
      <c r="DJ169" s="764"/>
      <c r="DK169" s="764"/>
      <c r="DL169" s="764"/>
      <c r="DM169" s="764"/>
      <c r="DN169" s="764"/>
      <c r="DO169" s="764"/>
      <c r="DP169" s="764"/>
      <c r="DQ169" s="764"/>
      <c r="DR169" s="764"/>
      <c r="DS169" s="764"/>
      <c r="DT169" s="764"/>
      <c r="DU169" s="764"/>
      <c r="DV169" s="764"/>
      <c r="DW169" s="764"/>
      <c r="DX169" s="764"/>
      <c r="DY169" s="764"/>
      <c r="DZ169" s="764"/>
    </row>
    <row r="170" spans="2:12" ht="12.75">
      <c r="B170" s="109"/>
      <c r="C170" s="109"/>
      <c r="D170" s="109"/>
      <c r="E170" s="109"/>
      <c r="F170" s="109"/>
      <c r="G170" s="121"/>
      <c r="H170" s="122"/>
      <c r="I170" s="121"/>
      <c r="J170" s="122"/>
      <c r="K170" s="121"/>
      <c r="L170" s="122"/>
    </row>
    <row r="171" spans="2:12" ht="12.75">
      <c r="B171" s="109"/>
      <c r="C171" s="109"/>
      <c r="D171" s="109"/>
      <c r="E171" s="109"/>
      <c r="F171" s="109"/>
      <c r="G171" s="121"/>
      <c r="H171" s="122"/>
      <c r="I171" s="121"/>
      <c r="J171" s="122"/>
      <c r="K171" s="121"/>
      <c r="L171" s="122"/>
    </row>
    <row r="172" spans="2:12" ht="12.75">
      <c r="B172" s="109"/>
      <c r="C172" s="109"/>
      <c r="D172" s="109"/>
      <c r="E172" s="109"/>
      <c r="F172" s="109"/>
      <c r="G172" s="121"/>
      <c r="H172" s="122"/>
      <c r="I172" s="121"/>
      <c r="J172" s="122"/>
      <c r="K172" s="121"/>
      <c r="L172" s="122"/>
    </row>
    <row r="173" spans="1:22" s="109" customFormat="1" ht="16.5" thickBot="1">
      <c r="A173" s="106" t="s">
        <v>674</v>
      </c>
      <c r="B173" s="106"/>
      <c r="C173" s="106"/>
      <c r="D173" s="106"/>
      <c r="E173" s="106"/>
      <c r="F173" s="106"/>
      <c r="G173" s="106"/>
      <c r="H173" s="107"/>
      <c r="I173" s="107"/>
      <c r="J173" s="106"/>
      <c r="K173" s="107"/>
      <c r="L173" s="107"/>
      <c r="M173" s="121"/>
      <c r="N173" s="711"/>
      <c r="O173" s="121"/>
      <c r="Q173" s="121"/>
      <c r="S173" s="121"/>
      <c r="U173" s="121"/>
      <c r="V173" s="121"/>
    </row>
    <row r="174" spans="1:20" ht="115.5" thickBot="1">
      <c r="A174" s="16" t="s">
        <v>42</v>
      </c>
      <c r="B174" s="78" t="s">
        <v>43</v>
      </c>
      <c r="C174" s="15" t="s">
        <v>44</v>
      </c>
      <c r="D174" s="4"/>
      <c r="E174" s="4"/>
      <c r="F174" s="4"/>
      <c r="G174" s="15" t="s">
        <v>23</v>
      </c>
      <c r="H174" s="79"/>
      <c r="I174" s="8" t="s">
        <v>24</v>
      </c>
      <c r="J174" s="80"/>
      <c r="K174" s="10" t="s">
        <v>25</v>
      </c>
      <c r="L174" s="238" t="s">
        <v>645</v>
      </c>
      <c r="M174" s="403" t="s">
        <v>296</v>
      </c>
      <c r="N174" s="421" t="s">
        <v>681</v>
      </c>
      <c r="O174" s="403" t="s">
        <v>296</v>
      </c>
      <c r="P174" s="421" t="s">
        <v>681</v>
      </c>
      <c r="Q174" s="403" t="s">
        <v>296</v>
      </c>
      <c r="R174" s="421" t="s">
        <v>681</v>
      </c>
      <c r="S174" s="403" t="s">
        <v>296</v>
      </c>
      <c r="T174" s="421" t="s">
        <v>681</v>
      </c>
    </row>
    <row r="175" spans="1:20" ht="13.5" thickBot="1">
      <c r="A175" s="32"/>
      <c r="B175" s="81"/>
      <c r="C175" s="33"/>
      <c r="D175" s="12"/>
      <c r="E175" s="12"/>
      <c r="F175" s="12"/>
      <c r="G175" s="11" t="s">
        <v>45</v>
      </c>
      <c r="H175" s="32" t="s">
        <v>27</v>
      </c>
      <c r="I175" s="34" t="s">
        <v>92</v>
      </c>
      <c r="J175" s="108" t="s">
        <v>29</v>
      </c>
      <c r="K175" s="33" t="s">
        <v>46</v>
      </c>
      <c r="L175" s="208"/>
      <c r="M175" s="25" t="s">
        <v>297</v>
      </c>
      <c r="N175" s="422"/>
      <c r="O175" s="25" t="s">
        <v>750</v>
      </c>
      <c r="P175" s="422"/>
      <c r="Q175" s="25" t="s">
        <v>896</v>
      </c>
      <c r="R175" s="422"/>
      <c r="S175" s="25" t="s">
        <v>957</v>
      </c>
      <c r="T175" s="422"/>
    </row>
    <row r="176" spans="1:20" ht="14.25">
      <c r="A176" s="3"/>
      <c r="B176" s="42">
        <v>400</v>
      </c>
      <c r="C176" s="44" t="s">
        <v>145</v>
      </c>
      <c r="D176" s="44"/>
      <c r="E176" s="44"/>
      <c r="F176" s="44"/>
      <c r="G176" s="123">
        <f aca="true" t="shared" si="50" ref="G176:S176">SUM(G178:G179)</f>
        <v>66880</v>
      </c>
      <c r="H176" s="123">
        <f>SUM(H178:H179)</f>
        <v>35376</v>
      </c>
      <c r="I176" s="123">
        <f t="shared" si="50"/>
        <v>86500</v>
      </c>
      <c r="J176" s="124">
        <f t="shared" si="50"/>
        <v>15246</v>
      </c>
      <c r="K176" s="123">
        <f t="shared" si="50"/>
        <v>51093</v>
      </c>
      <c r="L176" s="123">
        <f t="shared" si="50"/>
        <v>176306</v>
      </c>
      <c r="M176" s="124">
        <f t="shared" si="50"/>
        <v>1419</v>
      </c>
      <c r="N176" s="485">
        <f>SUM(M176/L176)*100</f>
        <v>0.8048506573797829</v>
      </c>
      <c r="O176" s="124">
        <f t="shared" si="50"/>
        <v>4130</v>
      </c>
      <c r="P176" s="485">
        <f>SUM(O176/L176)*100</f>
        <v>2.3425181219016937</v>
      </c>
      <c r="Q176" s="123">
        <f t="shared" si="50"/>
        <v>9392</v>
      </c>
      <c r="R176" s="663">
        <f>SUM(Q176/L176)*100</f>
        <v>5.327101743559493</v>
      </c>
      <c r="S176" s="124">
        <f t="shared" si="50"/>
        <v>14813</v>
      </c>
      <c r="T176" s="485">
        <f>SUM(S176/L176)*100</f>
        <v>8.401869476932152</v>
      </c>
    </row>
    <row r="177" spans="1:20" ht="14.25">
      <c r="A177" s="11"/>
      <c r="B177" s="14"/>
      <c r="C177" s="63" t="s">
        <v>146</v>
      </c>
      <c r="D177" s="12"/>
      <c r="E177" s="12"/>
      <c r="F177" s="12"/>
      <c r="G177" s="26"/>
      <c r="H177" s="26"/>
      <c r="I177" s="26"/>
      <c r="J177" s="52"/>
      <c r="K177" s="26"/>
      <c r="L177" s="26"/>
      <c r="N177" s="425"/>
      <c r="P177" s="547"/>
      <c r="R177" s="14"/>
      <c r="S177" s="25"/>
      <c r="T177" s="547"/>
    </row>
    <row r="178" spans="1:20" ht="12.75">
      <c r="A178" s="11"/>
      <c r="B178" s="14">
        <v>453</v>
      </c>
      <c r="C178" s="24" t="s">
        <v>147</v>
      </c>
      <c r="D178" s="12"/>
      <c r="E178" s="12"/>
      <c r="F178" s="12"/>
      <c r="G178" s="26">
        <f>15577+2237</f>
        <v>17814</v>
      </c>
      <c r="H178" s="26">
        <v>0</v>
      </c>
      <c r="I178" s="26">
        <v>1342</v>
      </c>
      <c r="J178" s="52">
        <v>1342</v>
      </c>
      <c r="K178" s="26">
        <v>802</v>
      </c>
      <c r="L178" s="26">
        <v>802</v>
      </c>
      <c r="N178" s="425"/>
      <c r="P178" s="547"/>
      <c r="R178" s="14"/>
      <c r="S178" s="25"/>
      <c r="T178" s="547"/>
    </row>
    <row r="179" spans="1:20" ht="12.75">
      <c r="A179" s="11"/>
      <c r="B179" s="14">
        <v>454</v>
      </c>
      <c r="C179" s="12" t="s">
        <v>148</v>
      </c>
      <c r="D179" s="12"/>
      <c r="E179" s="12"/>
      <c r="F179" s="12"/>
      <c r="G179" s="26">
        <f aca="true" t="shared" si="51" ref="G179:M179">SUM(G180:G182)</f>
        <v>49066</v>
      </c>
      <c r="H179" s="26">
        <f t="shared" si="51"/>
        <v>35376</v>
      </c>
      <c r="I179" s="26">
        <f t="shared" si="51"/>
        <v>85158</v>
      </c>
      <c r="J179" s="25">
        <f t="shared" si="51"/>
        <v>13904</v>
      </c>
      <c r="K179" s="26">
        <f t="shared" si="51"/>
        <v>50291</v>
      </c>
      <c r="L179" s="26">
        <f t="shared" si="51"/>
        <v>175504</v>
      </c>
      <c r="M179" s="25">
        <f t="shared" si="51"/>
        <v>1419</v>
      </c>
      <c r="N179" s="430">
        <f>SUM(M179/L179)*100</f>
        <v>0.8085285805451727</v>
      </c>
      <c r="O179" s="25">
        <f>SUM(O180:O182)</f>
        <v>4130</v>
      </c>
      <c r="P179" s="430">
        <f>SUM(O179/L179)*100</f>
        <v>2.353222718570517</v>
      </c>
      <c r="Q179" s="26">
        <f>SUM(Q180:Q182)</f>
        <v>9392</v>
      </c>
      <c r="R179" s="537">
        <f>SUM(Q179/L179)*100</f>
        <v>5.3514449813109675</v>
      </c>
      <c r="S179" s="25">
        <f>SUM(S180:S182)</f>
        <v>14813</v>
      </c>
      <c r="T179" s="430">
        <f>SUM(S179/L179)*100</f>
        <v>8.440263469778467</v>
      </c>
    </row>
    <row r="180" spans="1:20" ht="12.75">
      <c r="A180" s="11"/>
      <c r="B180" s="14"/>
      <c r="C180" s="68" t="s">
        <v>149</v>
      </c>
      <c r="D180" s="70"/>
      <c r="E180" s="70"/>
      <c r="F180" s="70"/>
      <c r="G180" s="60">
        <v>18402</v>
      </c>
      <c r="H180" s="60">
        <f>4162+3789+840+2333+3000+950+6787</f>
        <v>21861</v>
      </c>
      <c r="I180" s="60">
        <f>24484+402+1466</f>
        <v>26352</v>
      </c>
      <c r="J180" s="59">
        <v>4218</v>
      </c>
      <c r="K180" s="60">
        <f>13541+6750</f>
        <v>20291</v>
      </c>
      <c r="L180" s="60">
        <v>22740</v>
      </c>
      <c r="M180" s="398">
        <v>1419</v>
      </c>
      <c r="N180" s="441">
        <f>SUM(M180/L180)*100</f>
        <v>6.240105540897098</v>
      </c>
      <c r="O180" s="398">
        <v>3405</v>
      </c>
      <c r="P180" s="441">
        <f>SUM(O180/L180)*100</f>
        <v>14.973614775725594</v>
      </c>
      <c r="Q180" s="60">
        <v>5712</v>
      </c>
      <c r="R180" s="662">
        <f>SUM(Q180/L180)*100</f>
        <v>25.11873350923483</v>
      </c>
      <c r="S180" s="710">
        <v>11133</v>
      </c>
      <c r="T180" s="441">
        <f>SUM(S180/L180)*100</f>
        <v>48.95778364116095</v>
      </c>
    </row>
    <row r="181" spans="1:20" ht="12.75">
      <c r="A181" s="11"/>
      <c r="B181" s="14"/>
      <c r="C181" s="68" t="s">
        <v>150</v>
      </c>
      <c r="D181" s="70"/>
      <c r="E181" s="70"/>
      <c r="F181" s="70"/>
      <c r="G181" s="60">
        <v>3993</v>
      </c>
      <c r="H181" s="60">
        <v>0</v>
      </c>
      <c r="I181" s="60">
        <v>21</v>
      </c>
      <c r="J181" s="59">
        <v>21</v>
      </c>
      <c r="K181" s="60">
        <v>0</v>
      </c>
      <c r="L181" s="60">
        <v>9750</v>
      </c>
      <c r="M181" s="398"/>
      <c r="N181" s="441"/>
      <c r="O181" s="398">
        <v>725</v>
      </c>
      <c r="P181" s="441">
        <f>SUM(O181/L181)*100</f>
        <v>7.435897435897436</v>
      </c>
      <c r="Q181" s="60">
        <v>880</v>
      </c>
      <c r="R181" s="662">
        <f>SUM(Q181/L181)*100</f>
        <v>9.025641025641026</v>
      </c>
      <c r="S181" s="710">
        <v>880</v>
      </c>
      <c r="T181" s="441">
        <f>SUM(S181/L181)*100</f>
        <v>9.025641025641026</v>
      </c>
    </row>
    <row r="182" spans="1:20" ht="12.75">
      <c r="A182" s="11"/>
      <c r="B182" s="14"/>
      <c r="C182" s="68" t="s">
        <v>151</v>
      </c>
      <c r="D182" s="70"/>
      <c r="E182" s="70"/>
      <c r="F182" s="70"/>
      <c r="G182" s="60">
        <v>26671</v>
      </c>
      <c r="H182" s="60">
        <f>4800+8715</f>
        <v>13515</v>
      </c>
      <c r="I182" s="60">
        <v>58785</v>
      </c>
      <c r="J182" s="59">
        <v>9665</v>
      </c>
      <c r="K182" s="60">
        <v>30000</v>
      </c>
      <c r="L182" s="60">
        <v>143014</v>
      </c>
      <c r="M182" s="398"/>
      <c r="N182" s="441"/>
      <c r="O182" s="398"/>
      <c r="P182" s="569"/>
      <c r="Q182" s="60">
        <v>2800</v>
      </c>
      <c r="R182" s="662">
        <f>SUM(Q182/L182)*100</f>
        <v>1.9578502803921296</v>
      </c>
      <c r="S182" s="398">
        <v>2800</v>
      </c>
      <c r="T182" s="441">
        <f>SUM(S182/L182)*100</f>
        <v>1.9578502803921296</v>
      </c>
    </row>
    <row r="183" spans="1:20" ht="12.75">
      <c r="A183" s="11"/>
      <c r="B183" s="14"/>
      <c r="C183" s="12"/>
      <c r="D183" s="12"/>
      <c r="E183" s="12"/>
      <c r="F183" s="12"/>
      <c r="G183" s="26"/>
      <c r="H183" s="26"/>
      <c r="I183" s="26"/>
      <c r="J183" s="52"/>
      <c r="K183" s="26"/>
      <c r="L183" s="26"/>
      <c r="N183" s="425"/>
      <c r="P183" s="547"/>
      <c r="R183" s="14"/>
      <c r="T183" s="547"/>
    </row>
    <row r="184" spans="1:20" ht="14.25">
      <c r="A184" s="98"/>
      <c r="B184" s="61">
        <v>500</v>
      </c>
      <c r="C184" s="62" t="s">
        <v>152</v>
      </c>
      <c r="D184" s="12"/>
      <c r="E184" s="12"/>
      <c r="F184" s="12"/>
      <c r="G184" s="64">
        <f>G185</f>
        <v>210074</v>
      </c>
      <c r="H184" s="64">
        <f>H185</f>
        <v>45500</v>
      </c>
      <c r="I184" s="64">
        <f>I185</f>
        <v>65201</v>
      </c>
      <c r="J184" s="65">
        <f>J185</f>
        <v>50295</v>
      </c>
      <c r="K184" s="64">
        <f>K185</f>
        <v>111000</v>
      </c>
      <c r="L184" s="64">
        <f>SUM(L185+L186)</f>
        <v>72761</v>
      </c>
      <c r="N184" s="425"/>
      <c r="P184" s="547"/>
      <c r="Q184" s="413">
        <f>SUM(Q185+Q186)</f>
        <v>2745</v>
      </c>
      <c r="R184" s="664">
        <f>SUM(Q184/L184)*100</f>
        <v>3.772625444949904</v>
      </c>
      <c r="S184" s="413">
        <f>SUM(S185+S186)</f>
        <v>2746</v>
      </c>
      <c r="T184" s="432">
        <f>SUM(S184/L184)*100</f>
        <v>3.7739998075892305</v>
      </c>
    </row>
    <row r="185" spans="1:20" ht="14.25">
      <c r="A185" s="125"/>
      <c r="B185" s="14">
        <v>513002</v>
      </c>
      <c r="C185" s="12" t="s">
        <v>153</v>
      </c>
      <c r="D185" s="12"/>
      <c r="E185" s="12"/>
      <c r="F185" s="12"/>
      <c r="G185" s="26">
        <v>210074</v>
      </c>
      <c r="H185" s="26">
        <f>38000+24000-16500</f>
        <v>45500</v>
      </c>
      <c r="I185" s="26">
        <v>65201</v>
      </c>
      <c r="J185" s="52">
        <v>50295</v>
      </c>
      <c r="K185" s="26">
        <v>111000</v>
      </c>
      <c r="L185" s="26">
        <v>70000</v>
      </c>
      <c r="N185" s="425"/>
      <c r="P185" s="547"/>
      <c r="Q185" s="31">
        <v>2745</v>
      </c>
      <c r="R185" s="665">
        <f>SUM(Q185/L185)*100</f>
        <v>3.9214285714285717</v>
      </c>
      <c r="T185" s="585"/>
    </row>
    <row r="186" spans="1:20" ht="15" thickBot="1">
      <c r="A186" s="125"/>
      <c r="B186" s="14"/>
      <c r="C186" s="12" t="s">
        <v>695</v>
      </c>
      <c r="D186" s="12"/>
      <c r="E186" s="12"/>
      <c r="F186" s="12"/>
      <c r="G186" s="26"/>
      <c r="H186" s="26"/>
      <c r="I186" s="26"/>
      <c r="J186" s="52"/>
      <c r="K186" s="26"/>
      <c r="L186" s="26">
        <v>2761</v>
      </c>
      <c r="N186" s="425"/>
      <c r="P186" s="547"/>
      <c r="R186" s="14"/>
      <c r="S186" s="31">
        <v>2746</v>
      </c>
      <c r="T186" s="585">
        <f>SUM(S186/L186)*100</f>
        <v>99.45671858022456</v>
      </c>
    </row>
    <row r="187" spans="1:20" ht="16.5" thickBot="1">
      <c r="A187" s="126"/>
      <c r="B187" s="127" t="s">
        <v>144</v>
      </c>
      <c r="C187" s="126"/>
      <c r="D187" s="128"/>
      <c r="E187" s="128"/>
      <c r="F187" s="128"/>
      <c r="G187" s="129">
        <f aca="true" t="shared" si="52" ref="G187:M187">G184+G176</f>
        <v>276954</v>
      </c>
      <c r="H187" s="129">
        <f t="shared" si="52"/>
        <v>80876</v>
      </c>
      <c r="I187" s="129">
        <f t="shared" si="52"/>
        <v>151701</v>
      </c>
      <c r="J187" s="129">
        <f t="shared" si="52"/>
        <v>65541</v>
      </c>
      <c r="K187" s="129">
        <f t="shared" si="52"/>
        <v>162093</v>
      </c>
      <c r="L187" s="129">
        <f t="shared" si="52"/>
        <v>249067</v>
      </c>
      <c r="M187" s="483">
        <f t="shared" si="52"/>
        <v>1419</v>
      </c>
      <c r="N187" s="439">
        <f>SUM(M187/L187)*100</f>
        <v>0.5697262182464959</v>
      </c>
      <c r="O187" s="483">
        <f>O184+O176</f>
        <v>4130</v>
      </c>
      <c r="P187" s="439">
        <f>SUM(O187/L187)*100</f>
        <v>1.6581883589556226</v>
      </c>
      <c r="Q187" s="483">
        <f>Q184+Q176</f>
        <v>12137</v>
      </c>
      <c r="R187" s="439">
        <f>SUM(Q187/L187)*100</f>
        <v>4.872985983691136</v>
      </c>
      <c r="S187" s="483">
        <f>S184+S176</f>
        <v>17559</v>
      </c>
      <c r="T187" s="439">
        <f>SUM(S187/K187)*100</f>
        <v>10.832670133812071</v>
      </c>
    </row>
    <row r="188" ht="12.75"/>
    <row r="189" ht="12.75"/>
    <row r="190" ht="12.75"/>
    <row r="191" ht="12.75"/>
    <row r="192" ht="15.75">
      <c r="A192" s="2"/>
    </row>
    <row r="193" ht="15.75">
      <c r="A193" s="2" t="s">
        <v>678</v>
      </c>
    </row>
    <row r="194" spans="1:22" s="2" customFormat="1" ht="16.5" thickBot="1">
      <c r="A194" s="2" t="s">
        <v>938</v>
      </c>
      <c r="L194" s="401"/>
      <c r="M194" s="401"/>
      <c r="N194" s="436"/>
      <c r="O194" s="401"/>
      <c r="Q194" s="401"/>
      <c r="S194" s="401"/>
      <c r="U194" s="401"/>
      <c r="V194" s="401"/>
    </row>
    <row r="195" spans="1:20" ht="13.5" thickBot="1">
      <c r="A195" s="133"/>
      <c r="B195" s="134"/>
      <c r="C195" s="134"/>
      <c r="D195" s="134"/>
      <c r="E195" s="135"/>
      <c r="F195" s="135"/>
      <c r="G195" s="15" t="s">
        <v>23</v>
      </c>
      <c r="H195" s="136"/>
      <c r="I195" s="137" t="s">
        <v>155</v>
      </c>
      <c r="J195" s="138" t="s">
        <v>156</v>
      </c>
      <c r="K195" s="10" t="s">
        <v>25</v>
      </c>
      <c r="L195" s="238" t="s">
        <v>645</v>
      </c>
      <c r="M195" s="403" t="s">
        <v>296</v>
      </c>
      <c r="N195" s="421" t="s">
        <v>681</v>
      </c>
      <c r="O195" s="403" t="s">
        <v>296</v>
      </c>
      <c r="P195" s="421" t="s">
        <v>681</v>
      </c>
      <c r="Q195" s="403" t="s">
        <v>296</v>
      </c>
      <c r="R195" s="421" t="s">
        <v>681</v>
      </c>
      <c r="S195" s="403" t="s">
        <v>296</v>
      </c>
      <c r="T195" s="421" t="s">
        <v>681</v>
      </c>
    </row>
    <row r="196" spans="1:20" ht="13.5" thickTop="1">
      <c r="A196" s="139" t="s">
        <v>157</v>
      </c>
      <c r="B196" s="140" t="s">
        <v>158</v>
      </c>
      <c r="C196" s="141"/>
      <c r="D196" s="142"/>
      <c r="E196" s="142"/>
      <c r="F196" s="142"/>
      <c r="G196" s="11" t="s">
        <v>45</v>
      </c>
      <c r="H196" s="32" t="s">
        <v>27</v>
      </c>
      <c r="I196" s="6" t="s">
        <v>92</v>
      </c>
      <c r="J196" s="108" t="s">
        <v>29</v>
      </c>
      <c r="K196" s="33" t="s">
        <v>46</v>
      </c>
      <c r="L196" s="208"/>
      <c r="M196" s="25" t="s">
        <v>297</v>
      </c>
      <c r="N196" s="422"/>
      <c r="O196" s="25" t="s">
        <v>750</v>
      </c>
      <c r="P196" s="422"/>
      <c r="Q196" s="25" t="s">
        <v>896</v>
      </c>
      <c r="R196" s="422"/>
      <c r="S196" s="25" t="s">
        <v>957</v>
      </c>
      <c r="T196" s="422"/>
    </row>
    <row r="197" spans="1:20" ht="13.5" thickBot="1">
      <c r="A197" s="143"/>
      <c r="B197" s="144"/>
      <c r="C197" s="145"/>
      <c r="D197" s="145"/>
      <c r="E197" s="146"/>
      <c r="F197" s="147"/>
      <c r="G197" s="83"/>
      <c r="H197" s="84">
        <v>38335</v>
      </c>
      <c r="I197" s="148">
        <v>38587</v>
      </c>
      <c r="J197" s="110" t="s">
        <v>31</v>
      </c>
      <c r="K197" s="33" t="s">
        <v>32</v>
      </c>
      <c r="L197" s="242"/>
      <c r="M197" s="404"/>
      <c r="N197" s="423"/>
      <c r="O197" s="404"/>
      <c r="P197" s="423"/>
      <c r="Q197" s="404"/>
      <c r="R197" s="423"/>
      <c r="S197" s="404"/>
      <c r="T197" s="423"/>
    </row>
    <row r="198" spans="1:20" ht="13.5" thickBot="1">
      <c r="A198" s="149" t="s">
        <v>47</v>
      </c>
      <c r="B198" s="150"/>
      <c r="C198" s="151"/>
      <c r="D198" s="151" t="s">
        <v>48</v>
      </c>
      <c r="E198" s="151"/>
      <c r="F198" s="151"/>
      <c r="G198" s="152">
        <v>1</v>
      </c>
      <c r="H198" s="41">
        <v>2</v>
      </c>
      <c r="I198" s="22">
        <v>3</v>
      </c>
      <c r="J198" s="22">
        <v>4</v>
      </c>
      <c r="K198" s="40">
        <v>1</v>
      </c>
      <c r="L198" s="599">
        <v>1</v>
      </c>
      <c r="N198" s="424"/>
      <c r="P198" s="571"/>
      <c r="R198" s="571"/>
      <c r="T198" s="571"/>
    </row>
    <row r="199" spans="1:20" ht="12.75">
      <c r="A199" s="153" t="s">
        <v>159</v>
      </c>
      <c r="B199" s="24" t="s">
        <v>160</v>
      </c>
      <c r="C199" s="24"/>
      <c r="G199" s="154" t="e">
        <f aca="true" t="shared" si="53" ref="G199:S199">G280</f>
        <v>#REF!</v>
      </c>
      <c r="H199" s="154" t="e">
        <f t="shared" si="53"/>
        <v>#REF!</v>
      </c>
      <c r="I199" s="154" t="e">
        <f t="shared" si="53"/>
        <v>#REF!</v>
      </c>
      <c r="J199" s="154" t="e">
        <f t="shared" si="53"/>
        <v>#REF!</v>
      </c>
      <c r="K199" s="154" t="e">
        <f t="shared" si="53"/>
        <v>#REF!</v>
      </c>
      <c r="L199" s="154">
        <f t="shared" si="53"/>
        <v>89163</v>
      </c>
      <c r="M199" s="405" t="e">
        <f t="shared" si="53"/>
        <v>#REF!</v>
      </c>
      <c r="N199" s="425" t="e">
        <f aca="true" t="shared" si="54" ref="N199:N231">SUM(M199/L199)*100</f>
        <v>#REF!</v>
      </c>
      <c r="O199" s="405" t="e">
        <f t="shared" si="53"/>
        <v>#REF!</v>
      </c>
      <c r="P199" s="425" t="e">
        <f aca="true" t="shared" si="55" ref="P199:P228">SUM(O199/L199)*100</f>
        <v>#REF!</v>
      </c>
      <c r="Q199" s="405" t="e">
        <f t="shared" si="53"/>
        <v>#REF!</v>
      </c>
      <c r="R199" s="426" t="e">
        <f aca="true" t="shared" si="56" ref="R199:R228">SUM(Q199/L199)*100</f>
        <v>#REF!</v>
      </c>
      <c r="S199" s="154">
        <f t="shared" si="53"/>
        <v>34340</v>
      </c>
      <c r="T199" s="426">
        <f aca="true" t="shared" si="57" ref="T199:T228">SUM(S199/L199)*100</f>
        <v>38.51373327501318</v>
      </c>
    </row>
    <row r="200" spans="1:20" ht="12.75">
      <c r="A200" s="153" t="s">
        <v>161</v>
      </c>
      <c r="B200" s="24" t="s">
        <v>162</v>
      </c>
      <c r="C200" s="24"/>
      <c r="G200" s="155">
        <f aca="true" t="shared" si="58" ref="G200:S200">G595</f>
        <v>140</v>
      </c>
      <c r="H200" s="155">
        <f t="shared" si="58"/>
        <v>150</v>
      </c>
      <c r="I200" s="155">
        <f t="shared" si="58"/>
        <v>150</v>
      </c>
      <c r="J200" s="155">
        <f t="shared" si="58"/>
        <v>102</v>
      </c>
      <c r="K200" s="155">
        <f t="shared" si="58"/>
        <v>200</v>
      </c>
      <c r="L200" s="155">
        <f t="shared" si="58"/>
        <v>200</v>
      </c>
      <c r="M200" s="406">
        <f t="shared" si="58"/>
        <v>0</v>
      </c>
      <c r="N200" s="425">
        <f t="shared" si="54"/>
        <v>0</v>
      </c>
      <c r="O200" s="406">
        <f t="shared" si="58"/>
        <v>107</v>
      </c>
      <c r="P200" s="425">
        <f t="shared" si="55"/>
        <v>53.5</v>
      </c>
      <c r="Q200" s="406">
        <f t="shared" si="58"/>
        <v>107</v>
      </c>
      <c r="R200" s="425">
        <f t="shared" si="56"/>
        <v>53.5</v>
      </c>
      <c r="S200" s="406">
        <f t="shared" si="58"/>
        <v>107</v>
      </c>
      <c r="T200" s="425">
        <f t="shared" si="57"/>
        <v>53.5</v>
      </c>
    </row>
    <row r="201" spans="1:20" ht="12.75">
      <c r="A201" s="153" t="s">
        <v>163</v>
      </c>
      <c r="B201" s="24" t="s">
        <v>164</v>
      </c>
      <c r="C201" s="24"/>
      <c r="G201" s="155">
        <f aca="true" t="shared" si="59" ref="G201:S201">G607</f>
        <v>795</v>
      </c>
      <c r="H201" s="155">
        <f t="shared" si="59"/>
        <v>910</v>
      </c>
      <c r="I201" s="155">
        <f t="shared" si="59"/>
        <v>925</v>
      </c>
      <c r="J201" s="155">
        <f t="shared" si="59"/>
        <v>389</v>
      </c>
      <c r="K201" s="155">
        <f t="shared" si="59"/>
        <v>1006</v>
      </c>
      <c r="L201" s="155">
        <f t="shared" si="59"/>
        <v>1035</v>
      </c>
      <c r="M201" s="406">
        <f t="shared" si="59"/>
        <v>150</v>
      </c>
      <c r="N201" s="425">
        <f t="shared" si="54"/>
        <v>14.492753623188406</v>
      </c>
      <c r="O201" s="406">
        <f t="shared" si="59"/>
        <v>221</v>
      </c>
      <c r="P201" s="425">
        <f t="shared" si="55"/>
        <v>21.35265700483092</v>
      </c>
      <c r="Q201" s="406">
        <f t="shared" si="59"/>
        <v>364</v>
      </c>
      <c r="R201" s="425">
        <f t="shared" si="56"/>
        <v>35.169082125603865</v>
      </c>
      <c r="S201" s="406">
        <f t="shared" si="59"/>
        <v>419</v>
      </c>
      <c r="T201" s="425">
        <f t="shared" si="57"/>
        <v>40.48309178743961</v>
      </c>
    </row>
    <row r="202" spans="1:20" ht="12.75">
      <c r="A202" s="153" t="s">
        <v>165</v>
      </c>
      <c r="B202" s="24" t="s">
        <v>166</v>
      </c>
      <c r="C202" s="24"/>
      <c r="G202" s="155">
        <f aca="true" t="shared" si="60" ref="G202:S202">G1181</f>
        <v>19364</v>
      </c>
      <c r="H202" s="155">
        <f t="shared" si="60"/>
        <v>17762</v>
      </c>
      <c r="I202" s="155">
        <f t="shared" si="60"/>
        <v>20366</v>
      </c>
      <c r="J202" s="155">
        <f t="shared" si="60"/>
        <v>6448</v>
      </c>
      <c r="K202" s="155">
        <f t="shared" si="60"/>
        <v>20986</v>
      </c>
      <c r="L202" s="155">
        <f t="shared" si="60"/>
        <v>22056</v>
      </c>
      <c r="M202" s="406">
        <f t="shared" si="60"/>
        <v>1588</v>
      </c>
      <c r="N202" s="425">
        <f t="shared" si="54"/>
        <v>7.1998549147624225</v>
      </c>
      <c r="O202" s="406">
        <f t="shared" si="60"/>
        <v>2855</v>
      </c>
      <c r="P202" s="425">
        <f t="shared" si="55"/>
        <v>12.944323540079797</v>
      </c>
      <c r="Q202" s="406">
        <f t="shared" si="60"/>
        <v>7408</v>
      </c>
      <c r="R202" s="425">
        <f t="shared" si="56"/>
        <v>33.58723249909322</v>
      </c>
      <c r="S202" s="406">
        <f t="shared" si="60"/>
        <v>8725</v>
      </c>
      <c r="T202" s="425">
        <f t="shared" si="57"/>
        <v>39.558396808124776</v>
      </c>
    </row>
    <row r="203" spans="1:20" ht="12.75">
      <c r="A203" s="153" t="s">
        <v>167</v>
      </c>
      <c r="B203" s="24" t="s">
        <v>168</v>
      </c>
      <c r="C203" s="24"/>
      <c r="G203" s="155">
        <f>G558</f>
        <v>2124</v>
      </c>
      <c r="H203" s="155">
        <f>H558</f>
        <v>8787</v>
      </c>
      <c r="I203" s="155">
        <f>I558</f>
        <v>8787</v>
      </c>
      <c r="J203" s="155">
        <f>J558</f>
        <v>3141</v>
      </c>
      <c r="K203" s="155">
        <f>K558</f>
        <v>15187</v>
      </c>
      <c r="L203" s="155">
        <f>L555</f>
        <v>135265</v>
      </c>
      <c r="M203" s="406">
        <f>M555</f>
        <v>6117</v>
      </c>
      <c r="N203" s="425">
        <f t="shared" si="54"/>
        <v>4.5222341329981885</v>
      </c>
      <c r="O203" s="406">
        <f>O555</f>
        <v>7640</v>
      </c>
      <c r="P203" s="425">
        <f t="shared" si="55"/>
        <v>5.648172106605552</v>
      </c>
      <c r="Q203" s="406">
        <f>Q555</f>
        <v>11163</v>
      </c>
      <c r="R203" s="425">
        <f t="shared" si="56"/>
        <v>8.25268916571175</v>
      </c>
      <c r="S203" s="406">
        <f>S555</f>
        <v>13854</v>
      </c>
      <c r="T203" s="425">
        <f t="shared" si="57"/>
        <v>10.242117325250435</v>
      </c>
    </row>
    <row r="204" spans="1:20" ht="12.75">
      <c r="A204" s="153" t="s">
        <v>169</v>
      </c>
      <c r="B204" s="24" t="s">
        <v>170</v>
      </c>
      <c r="C204" s="24"/>
      <c r="G204" s="155" t="e">
        <f aca="true" t="shared" si="61" ref="G204:S204">G652</f>
        <v>#REF!</v>
      </c>
      <c r="H204" s="155" t="e">
        <f t="shared" si="61"/>
        <v>#REF!</v>
      </c>
      <c r="I204" s="155" t="e">
        <f t="shared" si="61"/>
        <v>#REF!</v>
      </c>
      <c r="J204" s="155" t="e">
        <f t="shared" si="61"/>
        <v>#REF!</v>
      </c>
      <c r="K204" s="155" t="e">
        <f t="shared" si="61"/>
        <v>#REF!</v>
      </c>
      <c r="L204" s="155">
        <f t="shared" si="61"/>
        <v>24327</v>
      </c>
      <c r="M204" s="406" t="e">
        <f t="shared" si="61"/>
        <v>#REF!</v>
      </c>
      <c r="N204" s="425" t="e">
        <f t="shared" si="54"/>
        <v>#REF!</v>
      </c>
      <c r="O204" s="406" t="e">
        <f t="shared" si="61"/>
        <v>#REF!</v>
      </c>
      <c r="P204" s="425" t="e">
        <f t="shared" si="55"/>
        <v>#REF!</v>
      </c>
      <c r="Q204" s="406" t="e">
        <f t="shared" si="61"/>
        <v>#REF!</v>
      </c>
      <c r="R204" s="425" t="e">
        <f t="shared" si="56"/>
        <v>#REF!</v>
      </c>
      <c r="S204" s="406">
        <f t="shared" si="61"/>
        <v>9085</v>
      </c>
      <c r="T204" s="425">
        <f t="shared" si="57"/>
        <v>37.34533645743412</v>
      </c>
    </row>
    <row r="205" spans="1:20" ht="12.75">
      <c r="A205" s="153" t="s">
        <v>171</v>
      </c>
      <c r="B205" s="24" t="s">
        <v>172</v>
      </c>
      <c r="C205" s="24"/>
      <c r="G205" s="155" t="e">
        <f aca="true" t="shared" si="62" ref="G205:S205">G788</f>
        <v>#REF!</v>
      </c>
      <c r="H205" s="155" t="e">
        <f t="shared" si="62"/>
        <v>#REF!</v>
      </c>
      <c r="I205" s="155" t="e">
        <f t="shared" si="62"/>
        <v>#REF!</v>
      </c>
      <c r="J205" s="155" t="e">
        <f t="shared" si="62"/>
        <v>#REF!</v>
      </c>
      <c r="K205" s="155" t="e">
        <f t="shared" si="62"/>
        <v>#REF!</v>
      </c>
      <c r="L205" s="155">
        <f t="shared" si="62"/>
        <v>282</v>
      </c>
      <c r="M205" s="406" t="e">
        <f t="shared" si="62"/>
        <v>#REF!</v>
      </c>
      <c r="N205" s="425" t="e">
        <f t="shared" si="54"/>
        <v>#REF!</v>
      </c>
      <c r="O205" s="406" t="e">
        <f t="shared" si="62"/>
        <v>#REF!</v>
      </c>
      <c r="P205" s="425" t="e">
        <f t="shared" si="55"/>
        <v>#REF!</v>
      </c>
      <c r="Q205" s="406" t="e">
        <f t="shared" si="62"/>
        <v>#REF!</v>
      </c>
      <c r="R205" s="425" t="e">
        <f t="shared" si="56"/>
        <v>#REF!</v>
      </c>
      <c r="S205" s="406">
        <f t="shared" si="62"/>
        <v>90</v>
      </c>
      <c r="T205" s="425">
        <f t="shared" si="57"/>
        <v>31.914893617021278</v>
      </c>
    </row>
    <row r="206" spans="1:20" ht="12.75">
      <c r="A206" s="153" t="s">
        <v>173</v>
      </c>
      <c r="B206" s="24" t="s">
        <v>174</v>
      </c>
      <c r="C206" s="24"/>
      <c r="G206" s="155">
        <f aca="true" t="shared" si="63" ref="G206:S206">G824</f>
        <v>727</v>
      </c>
      <c r="H206" s="155">
        <f t="shared" si="63"/>
        <v>845</v>
      </c>
      <c r="I206" s="155">
        <f t="shared" si="63"/>
        <v>1239</v>
      </c>
      <c r="J206" s="155">
        <f t="shared" si="63"/>
        <v>481</v>
      </c>
      <c r="K206" s="155">
        <f t="shared" si="63"/>
        <v>1642</v>
      </c>
      <c r="L206" s="155">
        <f t="shared" si="63"/>
        <v>1654</v>
      </c>
      <c r="M206" s="406">
        <f t="shared" si="63"/>
        <v>144</v>
      </c>
      <c r="N206" s="425">
        <f t="shared" si="54"/>
        <v>8.706166868198308</v>
      </c>
      <c r="O206" s="406">
        <f t="shared" si="63"/>
        <v>237</v>
      </c>
      <c r="P206" s="425">
        <f t="shared" si="55"/>
        <v>14.328899637243047</v>
      </c>
      <c r="Q206" s="406">
        <f t="shared" si="63"/>
        <v>410</v>
      </c>
      <c r="R206" s="425">
        <f t="shared" si="56"/>
        <v>24.78839177750907</v>
      </c>
      <c r="S206" s="406">
        <f t="shared" si="63"/>
        <v>447</v>
      </c>
      <c r="T206" s="425">
        <f t="shared" si="57"/>
        <v>27.02539298669891</v>
      </c>
    </row>
    <row r="207" spans="1:20" ht="12.75">
      <c r="A207" s="153" t="s">
        <v>175</v>
      </c>
      <c r="B207" s="24" t="s">
        <v>176</v>
      </c>
      <c r="C207" s="24"/>
      <c r="G207" s="155" t="e">
        <f aca="true" t="shared" si="64" ref="G207:S207">G864</f>
        <v>#REF!</v>
      </c>
      <c r="H207" s="155" t="e">
        <f t="shared" si="64"/>
        <v>#REF!</v>
      </c>
      <c r="I207" s="155" t="e">
        <f t="shared" si="64"/>
        <v>#REF!</v>
      </c>
      <c r="J207" s="155" t="e">
        <f t="shared" si="64"/>
        <v>#REF!</v>
      </c>
      <c r="K207" s="155" t="e">
        <f t="shared" si="64"/>
        <v>#REF!</v>
      </c>
      <c r="L207" s="155">
        <f t="shared" si="64"/>
        <v>385489</v>
      </c>
      <c r="M207" s="406">
        <f t="shared" si="64"/>
        <v>57576</v>
      </c>
      <c r="N207" s="425">
        <f t="shared" si="54"/>
        <v>14.935834744960296</v>
      </c>
      <c r="O207" s="406">
        <f t="shared" si="64"/>
        <v>59238</v>
      </c>
      <c r="P207" s="425">
        <f t="shared" si="55"/>
        <v>15.366975451958423</v>
      </c>
      <c r="Q207" s="406">
        <f t="shared" si="64"/>
        <v>66939</v>
      </c>
      <c r="R207" s="425">
        <f t="shared" si="56"/>
        <v>17.364697825359478</v>
      </c>
      <c r="S207" s="406">
        <f t="shared" si="64"/>
        <v>67288</v>
      </c>
      <c r="T207" s="425">
        <f t="shared" si="57"/>
        <v>17.455232185613596</v>
      </c>
    </row>
    <row r="208" spans="1:20" ht="12.75">
      <c r="A208" s="153"/>
      <c r="B208" s="24" t="s">
        <v>177</v>
      </c>
      <c r="C208" s="24"/>
      <c r="G208" s="155" t="e">
        <f aca="true" t="shared" si="65" ref="G208:S208">G930</f>
        <v>#REF!</v>
      </c>
      <c r="H208" s="155" t="e">
        <f t="shared" si="65"/>
        <v>#REF!</v>
      </c>
      <c r="I208" s="155" t="e">
        <f t="shared" si="65"/>
        <v>#REF!</v>
      </c>
      <c r="J208" s="155" t="e">
        <f t="shared" si="65"/>
        <v>#REF!</v>
      </c>
      <c r="K208" s="155" t="e">
        <f t="shared" si="65"/>
        <v>#REF!</v>
      </c>
      <c r="L208" s="155">
        <f t="shared" si="65"/>
        <v>3784</v>
      </c>
      <c r="M208" s="406">
        <f t="shared" si="65"/>
        <v>473</v>
      </c>
      <c r="N208" s="425">
        <f t="shared" si="54"/>
        <v>12.5</v>
      </c>
      <c r="O208" s="406">
        <f t="shared" si="65"/>
        <v>687</v>
      </c>
      <c r="P208" s="425">
        <f t="shared" si="55"/>
        <v>18.1553911205074</v>
      </c>
      <c r="Q208" s="406" t="e">
        <f t="shared" si="65"/>
        <v>#REF!</v>
      </c>
      <c r="R208" s="425" t="e">
        <f t="shared" si="56"/>
        <v>#REF!</v>
      </c>
      <c r="S208" s="406">
        <f t="shared" si="65"/>
        <v>1372</v>
      </c>
      <c r="T208" s="425">
        <f t="shared" si="57"/>
        <v>36.25792811839324</v>
      </c>
    </row>
    <row r="209" spans="1:20" ht="12.75">
      <c r="A209" s="153" t="s">
        <v>178</v>
      </c>
      <c r="B209" s="24" t="s">
        <v>179</v>
      </c>
      <c r="C209" s="24"/>
      <c r="G209" s="155" t="e">
        <f aca="true" t="shared" si="66" ref="G209:S209">G1019</f>
        <v>#REF!</v>
      </c>
      <c r="H209" s="155">
        <f t="shared" si="66"/>
        <v>33567</v>
      </c>
      <c r="I209" s="155" t="e">
        <f t="shared" si="66"/>
        <v>#REF!</v>
      </c>
      <c r="J209" s="155" t="e">
        <f t="shared" si="66"/>
        <v>#REF!</v>
      </c>
      <c r="K209" s="155" t="e">
        <f t="shared" si="66"/>
        <v>#REF!</v>
      </c>
      <c r="L209" s="155">
        <f t="shared" si="66"/>
        <v>86404</v>
      </c>
      <c r="M209" s="406">
        <f t="shared" si="66"/>
        <v>17097</v>
      </c>
      <c r="N209" s="425">
        <f t="shared" si="54"/>
        <v>19.78727836674228</v>
      </c>
      <c r="O209" s="406">
        <f t="shared" si="66"/>
        <v>23757</v>
      </c>
      <c r="P209" s="425">
        <f t="shared" si="55"/>
        <v>27.495254849312534</v>
      </c>
      <c r="Q209" s="406">
        <f t="shared" si="66"/>
        <v>35352</v>
      </c>
      <c r="R209" s="425">
        <f t="shared" si="56"/>
        <v>40.914772464237764</v>
      </c>
      <c r="S209" s="406">
        <f t="shared" si="66"/>
        <v>38150</v>
      </c>
      <c r="T209" s="425">
        <f t="shared" si="57"/>
        <v>44.15304846997824</v>
      </c>
    </row>
    <row r="210" spans="1:20" ht="12.75">
      <c r="A210" s="153" t="s">
        <v>180</v>
      </c>
      <c r="B210" s="24" t="s">
        <v>181</v>
      </c>
      <c r="C210" s="24"/>
      <c r="G210" s="155">
        <f aca="true" t="shared" si="67" ref="G210:S210">G1086</f>
        <v>916</v>
      </c>
      <c r="H210" s="155">
        <f t="shared" si="67"/>
        <v>1668</v>
      </c>
      <c r="I210" s="155">
        <f t="shared" si="67"/>
        <v>1183</v>
      </c>
      <c r="J210" s="155">
        <f t="shared" si="67"/>
        <v>691</v>
      </c>
      <c r="K210" s="155">
        <f t="shared" si="67"/>
        <v>2644</v>
      </c>
      <c r="L210" s="155">
        <f t="shared" si="67"/>
        <v>2919</v>
      </c>
      <c r="M210" s="406">
        <f t="shared" si="67"/>
        <v>251</v>
      </c>
      <c r="N210" s="425">
        <f t="shared" si="54"/>
        <v>8.598835217540254</v>
      </c>
      <c r="O210" s="406">
        <f t="shared" si="67"/>
        <v>271</v>
      </c>
      <c r="P210" s="425">
        <f t="shared" si="55"/>
        <v>9.284001370332305</v>
      </c>
      <c r="Q210" s="406">
        <f t="shared" si="67"/>
        <v>369</v>
      </c>
      <c r="R210" s="425">
        <f t="shared" si="56"/>
        <v>12.64131551901336</v>
      </c>
      <c r="S210" s="406">
        <f t="shared" si="67"/>
        <v>376</v>
      </c>
      <c r="T210" s="425">
        <f t="shared" si="57"/>
        <v>12.88112367249058</v>
      </c>
    </row>
    <row r="211" spans="1:20" ht="12.75">
      <c r="A211" s="153" t="s">
        <v>182</v>
      </c>
      <c r="B211" s="24" t="s">
        <v>183</v>
      </c>
      <c r="C211" s="24"/>
      <c r="G211" s="155">
        <f aca="true" t="shared" si="68" ref="G211:S211">G1156</f>
        <v>38512</v>
      </c>
      <c r="H211" s="155" t="e">
        <f t="shared" si="68"/>
        <v>#REF!</v>
      </c>
      <c r="I211" s="155" t="e">
        <f t="shared" si="68"/>
        <v>#REF!</v>
      </c>
      <c r="J211" s="155" t="e">
        <f t="shared" si="68"/>
        <v>#REF!</v>
      </c>
      <c r="K211" s="155" t="e">
        <f t="shared" si="68"/>
        <v>#REF!</v>
      </c>
      <c r="L211" s="155">
        <f t="shared" si="68"/>
        <v>43619</v>
      </c>
      <c r="M211" s="406">
        <f t="shared" si="68"/>
        <v>4430</v>
      </c>
      <c r="N211" s="425">
        <f t="shared" si="54"/>
        <v>10.156124624590202</v>
      </c>
      <c r="O211" s="406">
        <f t="shared" si="68"/>
        <v>6635</v>
      </c>
      <c r="P211" s="425">
        <f t="shared" si="55"/>
        <v>15.21126114766501</v>
      </c>
      <c r="Q211" s="406">
        <f t="shared" si="68"/>
        <v>13326</v>
      </c>
      <c r="R211" s="425">
        <f t="shared" si="56"/>
        <v>30.55090671496366</v>
      </c>
      <c r="S211" s="406">
        <f t="shared" si="68"/>
        <v>13655</v>
      </c>
      <c r="T211" s="425">
        <f t="shared" si="57"/>
        <v>31.305165180311334</v>
      </c>
    </row>
    <row r="212" spans="1:20" ht="12.75">
      <c r="A212" s="153" t="s">
        <v>184</v>
      </c>
      <c r="B212" s="24" t="s">
        <v>185</v>
      </c>
      <c r="C212" s="24"/>
      <c r="G212" s="155" t="e">
        <f aca="true" t="shared" si="69" ref="G212:S212">G1210</f>
        <v>#REF!</v>
      </c>
      <c r="H212" s="155" t="e">
        <f t="shared" si="69"/>
        <v>#REF!</v>
      </c>
      <c r="I212" s="155" t="e">
        <f t="shared" si="69"/>
        <v>#REF!</v>
      </c>
      <c r="J212" s="155" t="e">
        <f t="shared" si="69"/>
        <v>#REF!</v>
      </c>
      <c r="K212" s="155" t="e">
        <f t="shared" si="69"/>
        <v>#REF!</v>
      </c>
      <c r="L212" s="155">
        <f t="shared" si="69"/>
        <v>9992</v>
      </c>
      <c r="M212" s="406" t="e">
        <f t="shared" si="69"/>
        <v>#REF!</v>
      </c>
      <c r="N212" s="425" t="e">
        <f t="shared" si="54"/>
        <v>#REF!</v>
      </c>
      <c r="O212" s="406" t="e">
        <f t="shared" si="69"/>
        <v>#REF!</v>
      </c>
      <c r="P212" s="425" t="e">
        <f t="shared" si="55"/>
        <v>#REF!</v>
      </c>
      <c r="Q212" s="406" t="e">
        <f t="shared" si="69"/>
        <v>#REF!</v>
      </c>
      <c r="R212" s="425" t="e">
        <f t="shared" si="56"/>
        <v>#REF!</v>
      </c>
      <c r="S212" s="406">
        <f t="shared" si="69"/>
        <v>8188</v>
      </c>
      <c r="T212" s="425">
        <f t="shared" si="57"/>
        <v>81.94555644515611</v>
      </c>
    </row>
    <row r="213" spans="1:20" ht="12.75">
      <c r="A213" s="153" t="s">
        <v>186</v>
      </c>
      <c r="B213" s="24" t="s">
        <v>187</v>
      </c>
      <c r="C213" s="24"/>
      <c r="G213" s="155">
        <f aca="true" t="shared" si="70" ref="G213:S213">G1244</f>
        <v>20404</v>
      </c>
      <c r="H213" s="155">
        <f t="shared" si="70"/>
        <v>18253</v>
      </c>
      <c r="I213" s="155">
        <f t="shared" si="70"/>
        <v>17264</v>
      </c>
      <c r="J213" s="155">
        <f t="shared" si="70"/>
        <v>10378</v>
      </c>
      <c r="K213" s="155">
        <f t="shared" si="70"/>
        <v>14469</v>
      </c>
      <c r="L213" s="155">
        <f t="shared" si="70"/>
        <v>31844</v>
      </c>
      <c r="M213" s="406">
        <f t="shared" si="70"/>
        <v>3292</v>
      </c>
      <c r="N213" s="425">
        <f t="shared" si="54"/>
        <v>10.33789724908931</v>
      </c>
      <c r="O213" s="406">
        <f t="shared" si="70"/>
        <v>4390</v>
      </c>
      <c r="P213" s="425">
        <f t="shared" si="55"/>
        <v>13.78595653812335</v>
      </c>
      <c r="Q213" s="406">
        <f t="shared" si="70"/>
        <v>6585</v>
      </c>
      <c r="R213" s="425">
        <f t="shared" si="56"/>
        <v>20.678934807185026</v>
      </c>
      <c r="S213" s="406">
        <f t="shared" si="70"/>
        <v>6585</v>
      </c>
      <c r="T213" s="425">
        <f t="shared" si="57"/>
        <v>20.678934807185026</v>
      </c>
    </row>
    <row r="214" spans="1:20" ht="12.75">
      <c r="A214" s="153" t="s">
        <v>188</v>
      </c>
      <c r="B214" s="24" t="s">
        <v>189</v>
      </c>
      <c r="C214" s="24"/>
      <c r="G214" s="155" t="e">
        <f aca="true" t="shared" si="71" ref="G214:S214">G1270</f>
        <v>#REF!</v>
      </c>
      <c r="H214" s="155" t="e">
        <f t="shared" si="71"/>
        <v>#REF!</v>
      </c>
      <c r="I214" s="155" t="e">
        <f t="shared" si="71"/>
        <v>#REF!</v>
      </c>
      <c r="J214" s="155" t="e">
        <f t="shared" si="71"/>
        <v>#REF!</v>
      </c>
      <c r="K214" s="155" t="e">
        <f t="shared" si="71"/>
        <v>#REF!</v>
      </c>
      <c r="L214" s="155">
        <f t="shared" si="71"/>
        <v>38251</v>
      </c>
      <c r="M214" s="406">
        <f t="shared" si="71"/>
        <v>6655</v>
      </c>
      <c r="N214" s="425">
        <f t="shared" si="54"/>
        <v>17.398237954563278</v>
      </c>
      <c r="O214" s="406">
        <f t="shared" si="71"/>
        <v>9404</v>
      </c>
      <c r="P214" s="425">
        <f t="shared" si="55"/>
        <v>24.584978170505345</v>
      </c>
      <c r="Q214" s="406">
        <f t="shared" si="71"/>
        <v>21676</v>
      </c>
      <c r="R214" s="425">
        <f t="shared" si="56"/>
        <v>56.66779953465269</v>
      </c>
      <c r="S214" s="406">
        <f t="shared" si="71"/>
        <v>22175</v>
      </c>
      <c r="T214" s="425">
        <f t="shared" si="57"/>
        <v>57.972340592402816</v>
      </c>
    </row>
    <row r="215" spans="1:20" ht="12.75">
      <c r="A215" s="153" t="s">
        <v>190</v>
      </c>
      <c r="B215" s="24" t="s">
        <v>191</v>
      </c>
      <c r="C215" s="24"/>
      <c r="G215" s="155">
        <f aca="true" t="shared" si="72" ref="G215:S215">G1331</f>
        <v>4416</v>
      </c>
      <c r="H215" s="155">
        <f t="shared" si="72"/>
        <v>4386</v>
      </c>
      <c r="I215" s="155">
        <f t="shared" si="72"/>
        <v>5086</v>
      </c>
      <c r="J215" s="155">
        <f t="shared" si="72"/>
        <v>2193</v>
      </c>
      <c r="K215" s="155">
        <f t="shared" si="72"/>
        <v>8198</v>
      </c>
      <c r="L215" s="155">
        <f t="shared" si="72"/>
        <v>8768</v>
      </c>
      <c r="M215" s="406">
        <f t="shared" si="72"/>
        <v>1283</v>
      </c>
      <c r="N215" s="425">
        <f t="shared" si="54"/>
        <v>14.632755474452555</v>
      </c>
      <c r="O215" s="406">
        <f t="shared" si="72"/>
        <v>1924</v>
      </c>
      <c r="P215" s="425">
        <f t="shared" si="55"/>
        <v>21.943430656934307</v>
      </c>
      <c r="Q215" s="406">
        <f t="shared" si="72"/>
        <v>3408</v>
      </c>
      <c r="R215" s="425">
        <f t="shared" si="56"/>
        <v>38.86861313868613</v>
      </c>
      <c r="S215" s="406">
        <f t="shared" si="72"/>
        <v>4199</v>
      </c>
      <c r="T215" s="425">
        <f t="shared" si="57"/>
        <v>47.89005474452554</v>
      </c>
    </row>
    <row r="216" spans="1:20" ht="12.75">
      <c r="A216" s="156" t="s">
        <v>192</v>
      </c>
      <c r="B216" s="24" t="s">
        <v>193</v>
      </c>
      <c r="C216" s="24"/>
      <c r="G216" s="155">
        <f aca="true" t="shared" si="73" ref="G216:S216">G1393</f>
        <v>50</v>
      </c>
      <c r="H216" s="155">
        <f t="shared" si="73"/>
        <v>50</v>
      </c>
      <c r="I216" s="155">
        <f t="shared" si="73"/>
        <v>50</v>
      </c>
      <c r="J216" s="155">
        <f t="shared" si="73"/>
        <v>0</v>
      </c>
      <c r="K216" s="155">
        <f t="shared" si="73"/>
        <v>50</v>
      </c>
      <c r="L216" s="155">
        <f t="shared" si="73"/>
        <v>50</v>
      </c>
      <c r="M216" s="406">
        <f t="shared" si="73"/>
        <v>0</v>
      </c>
      <c r="N216" s="425">
        <f t="shared" si="54"/>
        <v>0</v>
      </c>
      <c r="O216" s="406">
        <f t="shared" si="73"/>
        <v>0</v>
      </c>
      <c r="P216" s="425">
        <f t="shared" si="55"/>
        <v>0</v>
      </c>
      <c r="Q216" s="406">
        <f t="shared" si="73"/>
        <v>0</v>
      </c>
      <c r="R216" s="425">
        <f t="shared" si="56"/>
        <v>0</v>
      </c>
      <c r="S216" s="406">
        <f t="shared" si="73"/>
        <v>0</v>
      </c>
      <c r="T216" s="425">
        <f t="shared" si="57"/>
        <v>0</v>
      </c>
    </row>
    <row r="217" spans="1:20" ht="12.75">
      <c r="A217" s="156" t="s">
        <v>194</v>
      </c>
      <c r="B217" s="24" t="s">
        <v>195</v>
      </c>
      <c r="C217" s="24"/>
      <c r="G217" s="155">
        <f aca="true" t="shared" si="74" ref="G217:S217">G1349</f>
        <v>350</v>
      </c>
      <c r="H217" s="155">
        <f t="shared" si="74"/>
        <v>305</v>
      </c>
      <c r="I217" s="155">
        <f t="shared" si="74"/>
        <v>477</v>
      </c>
      <c r="J217" s="155">
        <f t="shared" si="74"/>
        <v>268</v>
      </c>
      <c r="K217" s="155">
        <f t="shared" si="74"/>
        <v>510</v>
      </c>
      <c r="L217" s="155">
        <f t="shared" si="74"/>
        <v>861</v>
      </c>
      <c r="M217" s="406">
        <f t="shared" si="74"/>
        <v>226</v>
      </c>
      <c r="N217" s="425">
        <f t="shared" si="54"/>
        <v>26.24854819976771</v>
      </c>
      <c r="O217" s="406">
        <f t="shared" si="74"/>
        <v>323</v>
      </c>
      <c r="P217" s="425">
        <f t="shared" si="55"/>
        <v>37.51451800232288</v>
      </c>
      <c r="Q217" s="406">
        <f t="shared" si="74"/>
        <v>464</v>
      </c>
      <c r="R217" s="425">
        <f t="shared" si="56"/>
        <v>53.89082462253194</v>
      </c>
      <c r="S217" s="406">
        <f t="shared" si="74"/>
        <v>478</v>
      </c>
      <c r="T217" s="425">
        <f t="shared" si="57"/>
        <v>55.51684088269454</v>
      </c>
    </row>
    <row r="218" spans="1:20" ht="12.75">
      <c r="A218" s="153" t="s">
        <v>196</v>
      </c>
      <c r="B218" s="24" t="s">
        <v>197</v>
      </c>
      <c r="C218" s="24"/>
      <c r="G218" s="155">
        <f aca="true" t="shared" si="75" ref="G218:S218">G1404</f>
        <v>1089</v>
      </c>
      <c r="H218" s="155">
        <f t="shared" si="75"/>
        <v>1156</v>
      </c>
      <c r="I218" s="155">
        <f t="shared" si="75"/>
        <v>2032</v>
      </c>
      <c r="J218" s="155">
        <f t="shared" si="75"/>
        <v>766</v>
      </c>
      <c r="K218" s="155">
        <f t="shared" si="75"/>
        <v>3588</v>
      </c>
      <c r="L218" s="155">
        <f t="shared" si="75"/>
        <v>3508</v>
      </c>
      <c r="M218" s="406">
        <f t="shared" si="75"/>
        <v>451</v>
      </c>
      <c r="N218" s="425">
        <f t="shared" si="54"/>
        <v>12.856328392246294</v>
      </c>
      <c r="O218" s="406">
        <f t="shared" si="75"/>
        <v>690</v>
      </c>
      <c r="P218" s="425">
        <f t="shared" si="55"/>
        <v>19.66932725199544</v>
      </c>
      <c r="Q218" s="406">
        <f t="shared" si="75"/>
        <v>847</v>
      </c>
      <c r="R218" s="425">
        <f t="shared" si="56"/>
        <v>24.144811858608893</v>
      </c>
      <c r="S218" s="406">
        <f t="shared" si="75"/>
        <v>1012</v>
      </c>
      <c r="T218" s="425">
        <f t="shared" si="57"/>
        <v>28.848346636259976</v>
      </c>
    </row>
    <row r="219" spans="1:20" ht="12.75">
      <c r="A219" s="153" t="s">
        <v>198</v>
      </c>
      <c r="B219" s="24" t="s">
        <v>199</v>
      </c>
      <c r="C219" s="24"/>
      <c r="G219" s="155" t="e">
        <f aca="true" t="shared" si="76" ref="G219:S219">G1437</f>
        <v>#REF!</v>
      </c>
      <c r="H219" s="155" t="e">
        <f t="shared" si="76"/>
        <v>#REF!</v>
      </c>
      <c r="I219" s="155" t="e">
        <f t="shared" si="76"/>
        <v>#REF!</v>
      </c>
      <c r="J219" s="155" t="e">
        <f t="shared" si="76"/>
        <v>#REF!</v>
      </c>
      <c r="K219" s="155" t="e">
        <f t="shared" si="76"/>
        <v>#REF!</v>
      </c>
      <c r="L219" s="155">
        <f t="shared" si="76"/>
        <v>3303</v>
      </c>
      <c r="M219" s="406" t="e">
        <f t="shared" si="76"/>
        <v>#REF!</v>
      </c>
      <c r="N219" s="425" t="e">
        <f t="shared" si="54"/>
        <v>#REF!</v>
      </c>
      <c r="O219" s="406">
        <f t="shared" si="76"/>
        <v>258</v>
      </c>
      <c r="P219" s="425">
        <f t="shared" si="55"/>
        <v>7.811080835603996</v>
      </c>
      <c r="Q219" s="406">
        <f t="shared" si="76"/>
        <v>2955</v>
      </c>
      <c r="R219" s="425">
        <f t="shared" si="56"/>
        <v>89.46412352406902</v>
      </c>
      <c r="S219" s="406">
        <f t="shared" si="76"/>
        <v>2701</v>
      </c>
      <c r="T219" s="425">
        <f t="shared" si="57"/>
        <v>81.77414471692401</v>
      </c>
    </row>
    <row r="220" spans="1:20" ht="12.75">
      <c r="A220" s="153" t="s">
        <v>200</v>
      </c>
      <c r="B220" s="24" t="s">
        <v>201</v>
      </c>
      <c r="C220" s="24"/>
      <c r="G220" s="155" t="e">
        <f aca="true" t="shared" si="77" ref="G220:S220">G1503</f>
        <v>#REF!</v>
      </c>
      <c r="H220" s="155" t="e">
        <f t="shared" si="77"/>
        <v>#REF!</v>
      </c>
      <c r="I220" s="155" t="e">
        <f t="shared" si="77"/>
        <v>#REF!</v>
      </c>
      <c r="J220" s="155" t="e">
        <f t="shared" si="77"/>
        <v>#REF!</v>
      </c>
      <c r="K220" s="155" t="e">
        <f t="shared" si="77"/>
        <v>#REF!</v>
      </c>
      <c r="L220" s="155">
        <f t="shared" si="77"/>
        <v>243089</v>
      </c>
      <c r="M220" s="406">
        <f t="shared" si="77"/>
        <v>8929</v>
      </c>
      <c r="N220" s="425">
        <f t="shared" si="54"/>
        <v>3.6731402901817853</v>
      </c>
      <c r="O220" s="406">
        <f t="shared" si="77"/>
        <v>13098</v>
      </c>
      <c r="P220" s="425">
        <f t="shared" si="55"/>
        <v>5.388150019128797</v>
      </c>
      <c r="Q220" s="406">
        <f t="shared" si="77"/>
        <v>20047</v>
      </c>
      <c r="R220" s="425">
        <f t="shared" si="56"/>
        <v>8.24677381535158</v>
      </c>
      <c r="S220" s="406">
        <f t="shared" si="77"/>
        <v>98362</v>
      </c>
      <c r="T220" s="425">
        <f t="shared" si="57"/>
        <v>40.46336938323001</v>
      </c>
    </row>
    <row r="221" spans="1:20" ht="12.75">
      <c r="A221" s="153" t="s">
        <v>202</v>
      </c>
      <c r="B221" s="24" t="s">
        <v>203</v>
      </c>
      <c r="C221" s="24"/>
      <c r="G221" s="155">
        <f aca="true" t="shared" si="78" ref="G221:S221">G1466</f>
        <v>1030</v>
      </c>
      <c r="H221" s="155">
        <f t="shared" si="78"/>
        <v>130</v>
      </c>
      <c r="I221" s="155">
        <f t="shared" si="78"/>
        <v>1430</v>
      </c>
      <c r="J221" s="155">
        <f t="shared" si="78"/>
        <v>0</v>
      </c>
      <c r="K221" s="155">
        <f t="shared" si="78"/>
        <v>530</v>
      </c>
      <c r="L221" s="155">
        <f t="shared" si="78"/>
        <v>1637</v>
      </c>
      <c r="M221" s="406">
        <f t="shared" si="78"/>
        <v>0</v>
      </c>
      <c r="N221" s="425">
        <f t="shared" si="54"/>
        <v>0</v>
      </c>
      <c r="O221" s="406">
        <f t="shared" si="78"/>
        <v>0</v>
      </c>
      <c r="P221" s="425">
        <f t="shared" si="55"/>
        <v>0</v>
      </c>
      <c r="Q221" s="406">
        <f t="shared" si="78"/>
        <v>498</v>
      </c>
      <c r="R221" s="425">
        <f t="shared" si="56"/>
        <v>30.421502748930973</v>
      </c>
      <c r="S221" s="406">
        <f t="shared" si="78"/>
        <v>498</v>
      </c>
      <c r="T221" s="425">
        <f t="shared" si="57"/>
        <v>30.421502748930973</v>
      </c>
    </row>
    <row r="222" spans="1:20" ht="12.75">
      <c r="A222" s="153" t="s">
        <v>204</v>
      </c>
      <c r="B222" s="24" t="s">
        <v>205</v>
      </c>
      <c r="C222" s="24"/>
      <c r="G222" s="155">
        <f aca="true" t="shared" si="79" ref="G222:S222">G1483</f>
        <v>189</v>
      </c>
      <c r="H222" s="155">
        <f t="shared" si="79"/>
        <v>20</v>
      </c>
      <c r="I222" s="155">
        <f t="shared" si="79"/>
        <v>140</v>
      </c>
      <c r="J222" s="155">
        <f t="shared" si="79"/>
        <v>66</v>
      </c>
      <c r="K222" s="155">
        <f t="shared" si="79"/>
        <v>0</v>
      </c>
      <c r="L222" s="155">
        <f t="shared" si="79"/>
        <v>50</v>
      </c>
      <c r="M222" s="406">
        <f t="shared" si="79"/>
        <v>0</v>
      </c>
      <c r="N222" s="425">
        <f t="shared" si="54"/>
        <v>0</v>
      </c>
      <c r="O222" s="406">
        <f t="shared" si="79"/>
        <v>0</v>
      </c>
      <c r="P222" s="425">
        <f t="shared" si="55"/>
        <v>0</v>
      </c>
      <c r="Q222" s="406">
        <f t="shared" si="79"/>
        <v>0</v>
      </c>
      <c r="R222" s="425">
        <f t="shared" si="56"/>
        <v>0</v>
      </c>
      <c r="S222" s="406">
        <f t="shared" si="79"/>
        <v>5</v>
      </c>
      <c r="T222" s="425">
        <f t="shared" si="57"/>
        <v>10</v>
      </c>
    </row>
    <row r="223" spans="1:20" ht="12.75">
      <c r="A223" s="153" t="s">
        <v>206</v>
      </c>
      <c r="B223" s="24" t="s">
        <v>207</v>
      </c>
      <c r="C223" s="24"/>
      <c r="G223" s="155">
        <f aca="true" t="shared" si="80" ref="G223:O223">G1571</f>
        <v>200</v>
      </c>
      <c r="H223" s="155">
        <f t="shared" si="80"/>
        <v>200</v>
      </c>
      <c r="I223" s="155">
        <f t="shared" si="80"/>
        <v>100</v>
      </c>
      <c r="J223" s="155">
        <f t="shared" si="80"/>
        <v>95</v>
      </c>
      <c r="K223" s="155">
        <f t="shared" si="80"/>
        <v>200</v>
      </c>
      <c r="L223" s="155">
        <f t="shared" si="80"/>
        <v>200</v>
      </c>
      <c r="M223" s="406">
        <f t="shared" si="80"/>
        <v>24</v>
      </c>
      <c r="N223" s="425">
        <f t="shared" si="54"/>
        <v>12</v>
      </c>
      <c r="O223" s="406">
        <f t="shared" si="80"/>
        <v>29</v>
      </c>
      <c r="P223" s="425">
        <f t="shared" si="55"/>
        <v>14.499999999999998</v>
      </c>
      <c r="Q223" s="406">
        <f>Q1571</f>
        <v>38</v>
      </c>
      <c r="R223" s="425">
        <f t="shared" si="56"/>
        <v>19</v>
      </c>
      <c r="S223" s="406">
        <f>S1571</f>
        <v>39</v>
      </c>
      <c r="T223" s="425">
        <f t="shared" si="57"/>
        <v>19.5</v>
      </c>
    </row>
    <row r="224" spans="1:20" ht="12.75">
      <c r="A224" s="156" t="s">
        <v>208</v>
      </c>
      <c r="B224" s="24" t="s">
        <v>209</v>
      </c>
      <c r="C224" s="24"/>
      <c r="G224" s="155">
        <f aca="true" t="shared" si="81" ref="G224:S224">G1695</f>
        <v>5991</v>
      </c>
      <c r="H224" s="155">
        <f t="shared" si="81"/>
        <v>4905</v>
      </c>
      <c r="I224" s="155">
        <f t="shared" si="81"/>
        <v>4905</v>
      </c>
      <c r="J224" s="155">
        <f t="shared" si="81"/>
        <v>2180</v>
      </c>
      <c r="K224" s="155">
        <f t="shared" si="81"/>
        <v>6214</v>
      </c>
      <c r="L224" s="155">
        <f t="shared" si="81"/>
        <v>5304</v>
      </c>
      <c r="M224" s="406">
        <f t="shared" si="81"/>
        <v>966</v>
      </c>
      <c r="N224" s="425">
        <f t="shared" si="54"/>
        <v>18.212669683257918</v>
      </c>
      <c r="O224" s="406">
        <f t="shared" si="81"/>
        <v>1458</v>
      </c>
      <c r="P224" s="425">
        <f t="shared" si="55"/>
        <v>27.48868778280543</v>
      </c>
      <c r="Q224" s="406">
        <f t="shared" si="81"/>
        <v>2444</v>
      </c>
      <c r="R224" s="425">
        <f t="shared" si="56"/>
        <v>46.07843137254902</v>
      </c>
      <c r="S224" s="406">
        <f t="shared" si="81"/>
        <v>2500</v>
      </c>
      <c r="T224" s="425">
        <f t="shared" si="57"/>
        <v>47.134238310708895</v>
      </c>
    </row>
    <row r="225" spans="1:20" ht="12.75">
      <c r="A225" s="153" t="s">
        <v>210</v>
      </c>
      <c r="B225" s="24" t="s">
        <v>211</v>
      </c>
      <c r="C225" s="24"/>
      <c r="G225" s="155" t="e">
        <f aca="true" t="shared" si="82" ref="G225:S225">G1637</f>
        <v>#REF!</v>
      </c>
      <c r="H225" s="155" t="e">
        <f t="shared" si="82"/>
        <v>#REF!</v>
      </c>
      <c r="I225" s="155" t="e">
        <f t="shared" si="82"/>
        <v>#REF!</v>
      </c>
      <c r="J225" s="155" t="e">
        <f t="shared" si="82"/>
        <v>#REF!</v>
      </c>
      <c r="K225" s="155" t="e">
        <f t="shared" si="82"/>
        <v>#REF!</v>
      </c>
      <c r="L225" s="155">
        <f t="shared" si="82"/>
        <v>15857</v>
      </c>
      <c r="M225" s="406" t="e">
        <f t="shared" si="82"/>
        <v>#REF!</v>
      </c>
      <c r="N225" s="425" t="e">
        <f t="shared" si="54"/>
        <v>#REF!</v>
      </c>
      <c r="O225" s="406" t="e">
        <f t="shared" si="82"/>
        <v>#REF!</v>
      </c>
      <c r="P225" s="425" t="e">
        <f t="shared" si="55"/>
        <v>#REF!</v>
      </c>
      <c r="Q225" s="406" t="e">
        <f t="shared" si="82"/>
        <v>#REF!</v>
      </c>
      <c r="R225" s="425" t="e">
        <f t="shared" si="56"/>
        <v>#REF!</v>
      </c>
      <c r="S225" s="406">
        <f t="shared" si="82"/>
        <v>7650</v>
      </c>
      <c r="T225" s="425">
        <f t="shared" si="57"/>
        <v>48.243677870971815</v>
      </c>
    </row>
    <row r="226" spans="1:20" ht="12.75">
      <c r="A226" s="156" t="s">
        <v>212</v>
      </c>
      <c r="B226" s="24" t="s">
        <v>213</v>
      </c>
      <c r="C226" s="24"/>
      <c r="G226" s="155">
        <f aca="true" t="shared" si="83" ref="G226:S226">G1731</f>
        <v>681</v>
      </c>
      <c r="H226" s="155">
        <f t="shared" si="83"/>
        <v>341</v>
      </c>
      <c r="I226" s="155">
        <f t="shared" si="83"/>
        <v>487</v>
      </c>
      <c r="J226" s="155">
        <f t="shared" si="83"/>
        <v>283</v>
      </c>
      <c r="K226" s="155">
        <f t="shared" si="83"/>
        <v>721</v>
      </c>
      <c r="L226" s="155">
        <f t="shared" si="83"/>
        <v>718</v>
      </c>
      <c r="M226" s="406">
        <f t="shared" si="83"/>
        <v>73</v>
      </c>
      <c r="N226" s="425">
        <f t="shared" si="54"/>
        <v>10.167130919220057</v>
      </c>
      <c r="O226" s="406">
        <f t="shared" si="83"/>
        <v>107</v>
      </c>
      <c r="P226" s="425">
        <f t="shared" si="55"/>
        <v>14.902506963788301</v>
      </c>
      <c r="Q226" s="406">
        <f t="shared" si="83"/>
        <v>181</v>
      </c>
      <c r="R226" s="425">
        <f t="shared" si="56"/>
        <v>25.20891364902507</v>
      </c>
      <c r="S226" s="406">
        <f t="shared" si="83"/>
        <v>185</v>
      </c>
      <c r="T226" s="425">
        <f t="shared" si="57"/>
        <v>25.766016713091922</v>
      </c>
    </row>
    <row r="227" spans="1:20" ht="12.75">
      <c r="A227" s="153" t="s">
        <v>214</v>
      </c>
      <c r="B227" s="24" t="s">
        <v>215</v>
      </c>
      <c r="C227" s="24"/>
      <c r="G227" s="155">
        <f aca="true" t="shared" si="84" ref="G227:S227">G1676</f>
        <v>662</v>
      </c>
      <c r="H227" s="155">
        <f t="shared" si="84"/>
        <v>500</v>
      </c>
      <c r="I227" s="155">
        <f t="shared" si="84"/>
        <v>500</v>
      </c>
      <c r="J227" s="155">
        <f t="shared" si="84"/>
        <v>322</v>
      </c>
      <c r="K227" s="155">
        <f t="shared" si="84"/>
        <v>650</v>
      </c>
      <c r="L227" s="155">
        <f t="shared" si="84"/>
        <v>650</v>
      </c>
      <c r="M227" s="406">
        <f t="shared" si="84"/>
        <v>124</v>
      </c>
      <c r="N227" s="425">
        <f t="shared" si="54"/>
        <v>19.076923076923077</v>
      </c>
      <c r="O227" s="406">
        <f t="shared" si="84"/>
        <v>155</v>
      </c>
      <c r="P227" s="425">
        <f t="shared" si="55"/>
        <v>23.846153846153847</v>
      </c>
      <c r="Q227" s="406">
        <f t="shared" si="84"/>
        <v>205</v>
      </c>
      <c r="R227" s="425">
        <f t="shared" si="56"/>
        <v>31.538461538461537</v>
      </c>
      <c r="S227" s="406">
        <f t="shared" si="84"/>
        <v>212</v>
      </c>
      <c r="T227" s="425">
        <f t="shared" si="57"/>
        <v>32.61538461538461</v>
      </c>
    </row>
    <row r="228" spans="1:20" ht="12.75">
      <c r="A228" s="156" t="s">
        <v>216</v>
      </c>
      <c r="B228" s="24" t="s">
        <v>217</v>
      </c>
      <c r="C228" s="24"/>
      <c r="G228" s="155">
        <f aca="true" t="shared" si="85" ref="G228:S228">G1753</f>
        <v>6</v>
      </c>
      <c r="H228" s="155">
        <f t="shared" si="85"/>
        <v>23</v>
      </c>
      <c r="I228" s="155">
        <f t="shared" si="85"/>
        <v>23</v>
      </c>
      <c r="J228" s="155">
        <f t="shared" si="85"/>
        <v>19</v>
      </c>
      <c r="K228" s="155">
        <f t="shared" si="85"/>
        <v>162</v>
      </c>
      <c r="L228" s="155">
        <f t="shared" si="85"/>
        <v>164</v>
      </c>
      <c r="M228" s="406">
        <f t="shared" si="85"/>
        <v>14</v>
      </c>
      <c r="N228" s="425">
        <f t="shared" si="54"/>
        <v>8.536585365853659</v>
      </c>
      <c r="O228" s="406">
        <f t="shared" si="85"/>
        <v>21</v>
      </c>
      <c r="P228" s="425">
        <f t="shared" si="55"/>
        <v>12.804878048780488</v>
      </c>
      <c r="Q228" s="406">
        <f t="shared" si="85"/>
        <v>31</v>
      </c>
      <c r="R228" s="425">
        <f t="shared" si="56"/>
        <v>18.902439024390244</v>
      </c>
      <c r="S228" s="406">
        <f t="shared" si="85"/>
        <v>32</v>
      </c>
      <c r="T228" s="425">
        <f t="shared" si="57"/>
        <v>19.51219512195122</v>
      </c>
    </row>
    <row r="229" spans="1:20" ht="12.75">
      <c r="A229" s="153" t="s">
        <v>219</v>
      </c>
      <c r="B229" s="24" t="s">
        <v>220</v>
      </c>
      <c r="C229" s="24"/>
      <c r="G229" s="155">
        <f aca="true" t="shared" si="86" ref="G229:S229">G1585</f>
        <v>125</v>
      </c>
      <c r="H229" s="155">
        <f t="shared" si="86"/>
        <v>125</v>
      </c>
      <c r="I229" s="155">
        <f t="shared" si="86"/>
        <v>225</v>
      </c>
      <c r="J229" s="155">
        <f t="shared" si="86"/>
        <v>164</v>
      </c>
      <c r="K229" s="155">
        <f t="shared" si="86"/>
        <v>220</v>
      </c>
      <c r="L229" s="155">
        <f t="shared" si="86"/>
        <v>220</v>
      </c>
      <c r="M229" s="406">
        <f t="shared" si="86"/>
        <v>41</v>
      </c>
      <c r="N229" s="425">
        <f t="shared" si="54"/>
        <v>18.636363636363637</v>
      </c>
      <c r="O229" s="406">
        <f t="shared" si="86"/>
        <v>47</v>
      </c>
      <c r="P229" s="425">
        <f>SUM(O229/L229)*100</f>
        <v>21.363636363636363</v>
      </c>
      <c r="Q229" s="406">
        <f t="shared" si="86"/>
        <v>53</v>
      </c>
      <c r="R229" s="425">
        <f>SUM(Q229/L229)*100</f>
        <v>24.09090909090909</v>
      </c>
      <c r="S229" s="406">
        <f t="shared" si="86"/>
        <v>54</v>
      </c>
      <c r="T229" s="425">
        <f>SUM(S229/L229)*100</f>
        <v>24.545454545454547</v>
      </c>
    </row>
    <row r="230" spans="1:20" ht="13.5" thickBot="1">
      <c r="A230" s="153" t="s">
        <v>221</v>
      </c>
      <c r="B230" s="24" t="s">
        <v>222</v>
      </c>
      <c r="C230" s="24"/>
      <c r="G230" s="155">
        <f aca="true" t="shared" si="87" ref="G230:S230">G1601</f>
        <v>364</v>
      </c>
      <c r="H230" s="155">
        <f t="shared" si="87"/>
        <v>455</v>
      </c>
      <c r="I230" s="155">
        <f t="shared" si="87"/>
        <v>455</v>
      </c>
      <c r="J230" s="155">
        <f t="shared" si="87"/>
        <v>5</v>
      </c>
      <c r="K230" s="155">
        <f t="shared" si="87"/>
        <v>185</v>
      </c>
      <c r="L230" s="155">
        <f t="shared" si="87"/>
        <v>1610</v>
      </c>
      <c r="M230" s="406">
        <f t="shared" si="87"/>
        <v>38</v>
      </c>
      <c r="N230" s="425">
        <f t="shared" si="54"/>
        <v>2.360248447204969</v>
      </c>
      <c r="O230" s="406">
        <f t="shared" si="87"/>
        <v>85</v>
      </c>
      <c r="P230" s="425">
        <f>SUM(O230/L230)*100</f>
        <v>5.279503105590062</v>
      </c>
      <c r="Q230" s="406">
        <f t="shared" si="87"/>
        <v>86</v>
      </c>
      <c r="R230" s="425">
        <f>SUM(Q230/L230)*100</f>
        <v>5.341614906832298</v>
      </c>
      <c r="S230" s="406">
        <f t="shared" si="87"/>
        <v>86</v>
      </c>
      <c r="T230" s="425">
        <f>SUM(S230/L230)*100</f>
        <v>5.341614906832298</v>
      </c>
    </row>
    <row r="231" spans="1:20" ht="16.5" thickBot="1">
      <c r="A231" s="157"/>
      <c r="B231" s="102" t="s">
        <v>302</v>
      </c>
      <c r="C231" s="102"/>
      <c r="D231" s="103"/>
      <c r="E231" s="103"/>
      <c r="F231" s="103"/>
      <c r="G231" s="104" t="e">
        <f aca="true" t="shared" si="88" ref="G231:Q231">SUM(G199:G230)</f>
        <v>#REF!</v>
      </c>
      <c r="H231" s="104" t="e">
        <f t="shared" si="88"/>
        <v>#REF!</v>
      </c>
      <c r="I231" s="104" t="e">
        <f t="shared" si="88"/>
        <v>#REF!</v>
      </c>
      <c r="J231" s="104" t="e">
        <f t="shared" si="88"/>
        <v>#REF!</v>
      </c>
      <c r="K231" s="104" t="e">
        <f t="shared" si="88"/>
        <v>#REF!</v>
      </c>
      <c r="L231" s="104">
        <f t="shared" si="88"/>
        <v>1162273</v>
      </c>
      <c r="M231" s="407" t="e">
        <f t="shared" si="88"/>
        <v>#REF!</v>
      </c>
      <c r="N231" s="439" t="e">
        <f t="shared" si="54"/>
        <v>#REF!</v>
      </c>
      <c r="O231" s="407" t="e">
        <f t="shared" si="88"/>
        <v>#REF!</v>
      </c>
      <c r="P231" s="439" t="e">
        <f>SUM(O231/L231)*100</f>
        <v>#REF!</v>
      </c>
      <c r="Q231" s="407" t="e">
        <f t="shared" si="88"/>
        <v>#REF!</v>
      </c>
      <c r="R231" s="439" t="e">
        <f>SUM(Q231/L231)*100</f>
        <v>#REF!</v>
      </c>
      <c r="S231" s="104">
        <v>342869</v>
      </c>
      <c r="T231" s="439">
        <f>SUM(S231/L231)*100</f>
        <v>29.49986793120033</v>
      </c>
    </row>
    <row r="232" spans="1:22" s="2" customFormat="1" ht="15.75">
      <c r="A232" s="763" t="s">
        <v>658</v>
      </c>
      <c r="B232" s="776" t="s">
        <v>659</v>
      </c>
      <c r="C232" s="477"/>
      <c r="D232" s="477"/>
      <c r="E232" s="477"/>
      <c r="F232" s="777"/>
      <c r="G232" s="753"/>
      <c r="H232" s="753"/>
      <c r="I232" s="753"/>
      <c r="J232" s="753"/>
      <c r="K232" s="477"/>
      <c r="L232" s="754">
        <v>1033843</v>
      </c>
      <c r="M232" s="754"/>
      <c r="N232" s="755"/>
      <c r="O232" s="754"/>
      <c r="P232" s="767"/>
      <c r="Q232" s="754"/>
      <c r="R232" s="767"/>
      <c r="S232" s="779">
        <v>332940</v>
      </c>
      <c r="T232" s="768">
        <v>32.2</v>
      </c>
      <c r="U232" s="401"/>
      <c r="V232" s="401"/>
    </row>
    <row r="233" spans="1:20" ht="12.75">
      <c r="A233" s="262"/>
      <c r="B233" s="262" t="s">
        <v>660</v>
      </c>
      <c r="C233" s="158"/>
      <c r="D233" s="158"/>
      <c r="E233" s="158"/>
      <c r="F233" s="345"/>
      <c r="G233" s="159"/>
      <c r="H233" s="159"/>
      <c r="I233" s="159"/>
      <c r="J233" s="159"/>
      <c r="K233" s="158"/>
      <c r="L233" s="52">
        <v>537382</v>
      </c>
      <c r="M233" s="52"/>
      <c r="N233" s="428"/>
      <c r="O233" s="52"/>
      <c r="P233" s="12"/>
      <c r="Q233" s="52"/>
      <c r="R233" s="12"/>
      <c r="S233" s="26">
        <v>226599</v>
      </c>
      <c r="T233" s="13">
        <v>42.2</v>
      </c>
    </row>
    <row r="234" spans="1:20" ht="12.75">
      <c r="A234" s="262" t="s">
        <v>661</v>
      </c>
      <c r="B234" s="262" t="s">
        <v>662</v>
      </c>
      <c r="C234" s="158"/>
      <c r="D234" s="158"/>
      <c r="E234" s="158"/>
      <c r="F234" s="345"/>
      <c r="G234" s="159"/>
      <c r="H234" s="159"/>
      <c r="I234" s="159"/>
      <c r="J234" s="159"/>
      <c r="K234" s="158"/>
      <c r="L234" s="52">
        <v>496461</v>
      </c>
      <c r="M234" s="52"/>
      <c r="N234" s="428"/>
      <c r="O234" s="52"/>
      <c r="P234" s="12"/>
      <c r="Q234" s="52"/>
      <c r="R234" s="12"/>
      <c r="S234" s="26">
        <v>106341</v>
      </c>
      <c r="T234" s="13">
        <v>21.4</v>
      </c>
    </row>
    <row r="235" spans="1:22" s="2" customFormat="1" ht="16.5" thickBot="1">
      <c r="A235" s="769"/>
      <c r="B235" s="769" t="s">
        <v>673</v>
      </c>
      <c r="C235" s="770"/>
      <c r="D235" s="770"/>
      <c r="E235" s="770"/>
      <c r="F235" s="778"/>
      <c r="G235" s="771"/>
      <c r="H235" s="771"/>
      <c r="I235" s="771"/>
      <c r="J235" s="771"/>
      <c r="K235" s="770"/>
      <c r="L235" s="772">
        <v>128430</v>
      </c>
      <c r="M235" s="772"/>
      <c r="N235" s="773"/>
      <c r="O235" s="772"/>
      <c r="P235" s="774"/>
      <c r="Q235" s="772"/>
      <c r="R235" s="774"/>
      <c r="S235" s="780">
        <v>9929</v>
      </c>
      <c r="T235" s="775">
        <v>7.7</v>
      </c>
      <c r="U235" s="401"/>
      <c r="V235" s="401"/>
    </row>
    <row r="236" spans="1:11" ht="12.75">
      <c r="A236" s="158"/>
      <c r="B236" s="158"/>
      <c r="C236" s="158"/>
      <c r="D236" s="158"/>
      <c r="E236" s="158"/>
      <c r="F236" s="158"/>
      <c r="G236" s="159"/>
      <c r="H236" s="159"/>
      <c r="I236" s="159"/>
      <c r="J236" s="159"/>
      <c r="K236" s="160"/>
    </row>
    <row r="237" spans="1:11" ht="12.75">
      <c r="A237" s="158"/>
      <c r="B237" s="158"/>
      <c r="C237" s="158"/>
      <c r="D237" s="158"/>
      <c r="E237" s="158"/>
      <c r="F237" s="158"/>
      <c r="G237" s="159"/>
      <c r="H237" s="159"/>
      <c r="I237" s="159"/>
      <c r="J237" s="159"/>
      <c r="K237" s="160"/>
    </row>
    <row r="238" spans="1:22" s="748" customFormat="1" ht="16.5" thickBot="1">
      <c r="A238" s="106" t="s">
        <v>663</v>
      </c>
      <c r="B238" s="106"/>
      <c r="C238" s="106"/>
      <c r="D238" s="105"/>
      <c r="E238" s="105"/>
      <c r="F238" s="105"/>
      <c r="G238" s="105"/>
      <c r="L238" s="752"/>
      <c r="M238" s="752"/>
      <c r="N238" s="766"/>
      <c r="O238" s="752"/>
      <c r="Q238" s="752"/>
      <c r="S238" s="752"/>
      <c r="U238" s="752"/>
      <c r="V238" s="752"/>
    </row>
    <row r="239" spans="1:20" ht="13.5" thickBot="1">
      <c r="A239" s="6"/>
      <c r="B239" s="4"/>
      <c r="C239" s="4"/>
      <c r="D239" s="4"/>
      <c r="E239" s="4"/>
      <c r="F239" s="5"/>
      <c r="G239" s="15" t="s">
        <v>23</v>
      </c>
      <c r="H239" s="136"/>
      <c r="I239" s="137" t="s">
        <v>155</v>
      </c>
      <c r="J239" s="138" t="s">
        <v>156</v>
      </c>
      <c r="K239" s="10" t="s">
        <v>25</v>
      </c>
      <c r="L239" s="238" t="s">
        <v>645</v>
      </c>
      <c r="M239" s="403" t="s">
        <v>296</v>
      </c>
      <c r="N239" s="421" t="s">
        <v>681</v>
      </c>
      <c r="O239" s="403" t="s">
        <v>296</v>
      </c>
      <c r="P239" s="421" t="s">
        <v>681</v>
      </c>
      <c r="Q239" s="403" t="s">
        <v>296</v>
      </c>
      <c r="R239" s="421" t="s">
        <v>681</v>
      </c>
      <c r="S239" s="403" t="s">
        <v>296</v>
      </c>
      <c r="T239" s="421" t="s">
        <v>681</v>
      </c>
    </row>
    <row r="240" spans="1:20" ht="13.5" thickBot="1">
      <c r="A240" s="14"/>
      <c r="B240" s="12"/>
      <c r="C240" s="12"/>
      <c r="D240" s="12"/>
      <c r="E240" s="12"/>
      <c r="F240" s="13"/>
      <c r="G240" s="11" t="s">
        <v>45</v>
      </c>
      <c r="H240" s="32" t="s">
        <v>27</v>
      </c>
      <c r="I240" s="6" t="s">
        <v>92</v>
      </c>
      <c r="J240" s="108" t="s">
        <v>29</v>
      </c>
      <c r="K240" s="33" t="s">
        <v>46</v>
      </c>
      <c r="L240" s="208"/>
      <c r="M240" s="25" t="s">
        <v>297</v>
      </c>
      <c r="N240" s="422"/>
      <c r="O240" s="25" t="s">
        <v>750</v>
      </c>
      <c r="P240" s="422"/>
      <c r="Q240" s="25" t="s">
        <v>896</v>
      </c>
      <c r="R240" s="422"/>
      <c r="S240" s="25" t="s">
        <v>957</v>
      </c>
      <c r="T240" s="422"/>
    </row>
    <row r="241" spans="1:20" ht="12.75">
      <c r="A241" s="724" t="s">
        <v>963</v>
      </c>
      <c r="B241" s="4" t="s">
        <v>160</v>
      </c>
      <c r="C241" s="4"/>
      <c r="D241" s="4"/>
      <c r="E241" s="4"/>
      <c r="F241" s="5"/>
      <c r="G241" s="154" t="e">
        <f aca="true" t="shared" si="89" ref="G241:M241">G432</f>
        <v>#REF!</v>
      </c>
      <c r="H241" s="154" t="e">
        <f t="shared" si="89"/>
        <v>#REF!</v>
      </c>
      <c r="I241" s="154" t="e">
        <f t="shared" si="89"/>
        <v>#REF!</v>
      </c>
      <c r="J241" s="154" t="e">
        <f t="shared" si="89"/>
        <v>#REF!</v>
      </c>
      <c r="K241" s="154" t="e">
        <f t="shared" si="89"/>
        <v>#REF!</v>
      </c>
      <c r="L241" s="154">
        <f t="shared" si="89"/>
        <v>8484</v>
      </c>
      <c r="M241" s="405" t="e">
        <f t="shared" si="89"/>
        <v>#REF!</v>
      </c>
      <c r="N241" s="426" t="e">
        <f>SUM(M241/L241)*100</f>
        <v>#REF!</v>
      </c>
      <c r="O241" s="405" t="e">
        <f>O432</f>
        <v>#REF!</v>
      </c>
      <c r="P241" s="426" t="e">
        <f>SUM(O241/L241)*100</f>
        <v>#REF!</v>
      </c>
      <c r="Q241" s="405" t="e">
        <f>Q432</f>
        <v>#REF!</v>
      </c>
      <c r="R241" s="421" t="e">
        <f>SUM(Q241/L241)*100</f>
        <v>#REF!</v>
      </c>
      <c r="S241" s="154">
        <f>S432</f>
        <v>557</v>
      </c>
      <c r="T241" s="660">
        <f>SUM(S241/L241)*100</f>
        <v>6.565299387081565</v>
      </c>
    </row>
    <row r="242" spans="1:20" ht="12.75">
      <c r="A242" s="14" t="s">
        <v>665</v>
      </c>
      <c r="B242" t="s">
        <v>664</v>
      </c>
      <c r="G242" s="155"/>
      <c r="H242" s="155"/>
      <c r="I242" s="155"/>
      <c r="J242" s="155"/>
      <c r="K242" s="155"/>
      <c r="L242" s="155">
        <f>SUM(L1198)</f>
        <v>330</v>
      </c>
      <c r="M242" s="406"/>
      <c r="N242" s="425"/>
      <c r="O242" s="406"/>
      <c r="P242" s="425"/>
      <c r="Q242" s="406"/>
      <c r="R242" s="422"/>
      <c r="S242" s="26">
        <v>0</v>
      </c>
      <c r="T242" s="13"/>
    </row>
    <row r="243" spans="1:20" ht="12.75">
      <c r="A243" s="89" t="s">
        <v>964</v>
      </c>
      <c r="B243" t="s">
        <v>170</v>
      </c>
      <c r="G243" s="155" t="e">
        <f aca="true" t="shared" si="90" ref="G243:S243">G736</f>
        <v>#REF!</v>
      </c>
      <c r="H243" s="155" t="e">
        <f t="shared" si="90"/>
        <v>#REF!</v>
      </c>
      <c r="I243" s="155" t="e">
        <f t="shared" si="90"/>
        <v>#REF!</v>
      </c>
      <c r="J243" s="155" t="e">
        <f t="shared" si="90"/>
        <v>#REF!</v>
      </c>
      <c r="K243" s="155" t="e">
        <f t="shared" si="90"/>
        <v>#REF!</v>
      </c>
      <c r="L243" s="155">
        <f t="shared" si="90"/>
        <v>1360</v>
      </c>
      <c r="M243" s="406" t="e">
        <f t="shared" si="90"/>
        <v>#REF!</v>
      </c>
      <c r="N243" s="425" t="e">
        <f>SUM(M243/L243)*100</f>
        <v>#REF!</v>
      </c>
      <c r="O243" s="406" t="e">
        <f t="shared" si="90"/>
        <v>#REF!</v>
      </c>
      <c r="P243" s="425" t="e">
        <f>SUM(O243/L243)*100</f>
        <v>#REF!</v>
      </c>
      <c r="Q243" s="406" t="e">
        <f t="shared" si="90"/>
        <v>#REF!</v>
      </c>
      <c r="R243" s="422" t="e">
        <f>SUM(Q243/L243)*100</f>
        <v>#REF!</v>
      </c>
      <c r="S243" s="155">
        <f t="shared" si="90"/>
        <v>570</v>
      </c>
      <c r="T243" s="532">
        <f>SUM(S243/L243)*100</f>
        <v>41.911764705882355</v>
      </c>
    </row>
    <row r="244" spans="1:20" ht="12.75">
      <c r="A244" s="97" t="s">
        <v>966</v>
      </c>
      <c r="B244" s="24" t="s">
        <v>176</v>
      </c>
      <c r="C244" s="24"/>
      <c r="G244" s="155" t="e">
        <f>G882+#REF!+G896+G908</f>
        <v>#REF!</v>
      </c>
      <c r="H244" s="155" t="e">
        <f>H882+#REF!+H896+H908</f>
        <v>#REF!</v>
      </c>
      <c r="I244" s="155" t="e">
        <f>I882+#REF!+I896+I908</f>
        <v>#REF!</v>
      </c>
      <c r="J244" s="155" t="e">
        <f>J882+#REF!+J896+J908</f>
        <v>#REF!</v>
      </c>
      <c r="K244" s="155" t="e">
        <f>K882+#REF!+K896+K908</f>
        <v>#REF!</v>
      </c>
      <c r="L244" s="155">
        <f>L882+L896+L908</f>
        <v>384193</v>
      </c>
      <c r="M244" s="155">
        <f>M882+M896+M908</f>
        <v>57310</v>
      </c>
      <c r="N244" s="425">
        <f>SUM(M244/L244)*100</f>
        <v>14.916981829445097</v>
      </c>
      <c r="O244" s="628">
        <f>O882+O896+O908</f>
        <v>58972</v>
      </c>
      <c r="P244" s="532">
        <f>SUM(O244/L244)*100</f>
        <v>15.349576905357464</v>
      </c>
      <c r="Q244" s="406">
        <f>Q882+Q896+Q908</f>
        <v>65970</v>
      </c>
      <c r="R244" s="422">
        <f>SUM(Q244/L244)*100</f>
        <v>17.17105725507753</v>
      </c>
      <c r="S244" s="155">
        <f>S882+S896+S908</f>
        <v>66314</v>
      </c>
      <c r="T244" s="532">
        <f>SUM(S244/L244)*100</f>
        <v>17.260595586072625</v>
      </c>
    </row>
    <row r="245" spans="1:20" ht="12.75">
      <c r="A245" s="97" t="s">
        <v>966</v>
      </c>
      <c r="B245" s="24" t="s">
        <v>177</v>
      </c>
      <c r="C245" s="24"/>
      <c r="G245" s="155" t="e">
        <f>#REF!</f>
        <v>#REF!</v>
      </c>
      <c r="H245" s="155" t="e">
        <f>#REF!</f>
        <v>#REF!</v>
      </c>
      <c r="I245" s="155" t="e">
        <f>#REF!</f>
        <v>#REF!</v>
      </c>
      <c r="J245" s="155" t="e">
        <f>#REF!</f>
        <v>#REF!</v>
      </c>
      <c r="K245" s="155" t="e">
        <f>#REF!</f>
        <v>#REF!</v>
      </c>
      <c r="L245" s="155">
        <f>SUM(L960)</f>
        <v>140</v>
      </c>
      <c r="M245" s="406"/>
      <c r="N245" s="425"/>
      <c r="P245" s="547"/>
      <c r="R245" s="14"/>
      <c r="S245" s="26">
        <v>0</v>
      </c>
      <c r="T245" s="13"/>
    </row>
    <row r="246" spans="1:20" ht="12.75">
      <c r="A246" s="97" t="s">
        <v>666</v>
      </c>
      <c r="B246" s="24" t="s">
        <v>179</v>
      </c>
      <c r="C246" s="24"/>
      <c r="G246" s="155" t="e">
        <f>G1045+G1049+G1051+G1059+#REF!</f>
        <v>#REF!</v>
      </c>
      <c r="H246" s="155" t="e">
        <f>H1045+H1049+H1051+H1059+#REF!</f>
        <v>#REF!</v>
      </c>
      <c r="I246" s="155" t="e">
        <f>I1045+I1049+I1051+I1059+#REF!</f>
        <v>#REF!</v>
      </c>
      <c r="J246" s="155" t="e">
        <f>J1045+J1049+J1051+J1059+#REF!</f>
        <v>#REF!</v>
      </c>
      <c r="K246" s="155" t="e">
        <f>K1045+K1049+K1051+K1059+#REF!</f>
        <v>#REF!</v>
      </c>
      <c r="L246" s="155">
        <f>L1045+L1049+L1051+L1059</f>
        <v>53371</v>
      </c>
      <c r="M246" s="406" t="e">
        <f>M1045+M1049+M1051+M1059+#REF!</f>
        <v>#REF!</v>
      </c>
      <c r="N246" s="425" t="e">
        <f>SUM(M246/L246)*100</f>
        <v>#REF!</v>
      </c>
      <c r="O246" s="406" t="e">
        <f>O1045+O1049+O1051+O1059+#REF!</f>
        <v>#REF!</v>
      </c>
      <c r="P246" s="425" t="e">
        <f>SUM(O246/L246)*100</f>
        <v>#REF!</v>
      </c>
      <c r="Q246" s="406" t="e">
        <f>Q1045+Q1049+Q1051+Q1059+#REF!</f>
        <v>#REF!</v>
      </c>
      <c r="R246" s="422" t="e">
        <f>SUM(Q246/L246)*100</f>
        <v>#REF!</v>
      </c>
      <c r="S246" s="155">
        <f>S1045+S1049+S1051+S1059</f>
        <v>17513</v>
      </c>
      <c r="T246" s="532">
        <f>SUM(S246/L246)*100</f>
        <v>32.81370032414607</v>
      </c>
    </row>
    <row r="247" spans="1:20" ht="12.75">
      <c r="A247" s="97" t="s">
        <v>667</v>
      </c>
      <c r="B247" s="24" t="s">
        <v>181</v>
      </c>
      <c r="C247" s="24"/>
      <c r="G247" s="155">
        <v>0</v>
      </c>
      <c r="H247" s="155">
        <v>0</v>
      </c>
      <c r="I247" s="155">
        <v>0</v>
      </c>
      <c r="J247" s="155">
        <v>0</v>
      </c>
      <c r="K247" s="155">
        <v>1032</v>
      </c>
      <c r="L247" s="155">
        <f>SUM(L1130)</f>
        <v>1282</v>
      </c>
      <c r="M247" s="406">
        <f>SUM(M1130)</f>
        <v>0</v>
      </c>
      <c r="N247" s="425">
        <f>SUM(M247/L247)*100</f>
        <v>0</v>
      </c>
      <c r="O247" s="406">
        <f>SUM(O1130)</f>
        <v>0</v>
      </c>
      <c r="P247" s="425">
        <f>SUM(O247/L247)*100</f>
        <v>0</v>
      </c>
      <c r="Q247" s="406">
        <f>SUM(Q1130)</f>
        <v>0</v>
      </c>
      <c r="R247" s="422">
        <f>SUM(Q247/L247)*100</f>
        <v>0</v>
      </c>
      <c r="S247" s="155">
        <f>SUM(S1130)</f>
        <v>0</v>
      </c>
      <c r="T247" s="13"/>
    </row>
    <row r="248" spans="1:20" ht="12.75">
      <c r="A248" s="97" t="s">
        <v>969</v>
      </c>
      <c r="B248" s="24" t="s">
        <v>185</v>
      </c>
      <c r="C248" s="24"/>
      <c r="G248" s="155" t="e">
        <f>#REF!+#REF!+G1230</f>
        <v>#REF!</v>
      </c>
      <c r="H248" s="155" t="e">
        <f>#REF!+#REF!+H1230</f>
        <v>#REF!</v>
      </c>
      <c r="I248" s="155" t="e">
        <f>#REF!+#REF!+I1230</f>
        <v>#REF!</v>
      </c>
      <c r="J248" s="155" t="e">
        <f>#REF!+#REF!+J1230</f>
        <v>#REF!</v>
      </c>
      <c r="K248" s="155" t="e">
        <f>#REF!+#REF!+K1230</f>
        <v>#REF!</v>
      </c>
      <c r="L248" s="155">
        <f>SUM(L1221)</f>
        <v>9461</v>
      </c>
      <c r="M248" s="406" t="e">
        <f>#REF!+#REF!+M1230</f>
        <v>#REF!</v>
      </c>
      <c r="N248" s="425" t="e">
        <f>SUM(M248/L248)*100</f>
        <v>#REF!</v>
      </c>
      <c r="O248" s="406" t="e">
        <f>#REF!+#REF!+O1230</f>
        <v>#REF!</v>
      </c>
      <c r="P248" s="425" t="e">
        <f>SUM(O248/L248)*100</f>
        <v>#REF!</v>
      </c>
      <c r="Q248" s="406" t="e">
        <f>#REF!+#REF!+Q1230</f>
        <v>#REF!</v>
      </c>
      <c r="R248" s="422" t="e">
        <f>SUM(Q248/L248)*100</f>
        <v>#REF!</v>
      </c>
      <c r="S248" s="155">
        <f>SUM(S1221)</f>
        <v>8053</v>
      </c>
      <c r="T248" s="532">
        <f>SUM(S248/L248)*100</f>
        <v>85.11785223549307</v>
      </c>
    </row>
    <row r="249" spans="1:20" ht="12.75">
      <c r="A249" s="97" t="s">
        <v>705</v>
      </c>
      <c r="B249" s="24" t="s">
        <v>187</v>
      </c>
      <c r="C249" s="24"/>
      <c r="G249" s="155">
        <f aca="true" t="shared" si="91" ref="G249:S249">G1251</f>
        <v>4460</v>
      </c>
      <c r="H249" s="155">
        <f t="shared" si="91"/>
        <v>3000</v>
      </c>
      <c r="I249" s="155">
        <f t="shared" si="91"/>
        <v>3000</v>
      </c>
      <c r="J249" s="155">
        <f t="shared" si="91"/>
        <v>3000</v>
      </c>
      <c r="K249" s="155">
        <f t="shared" si="91"/>
        <v>1300</v>
      </c>
      <c r="L249" s="155">
        <f t="shared" si="91"/>
        <v>18675</v>
      </c>
      <c r="M249" s="406">
        <f t="shared" si="91"/>
        <v>0</v>
      </c>
      <c r="N249" s="425">
        <f>SUM(M249/L249)*100</f>
        <v>0</v>
      </c>
      <c r="O249" s="406">
        <f t="shared" si="91"/>
        <v>0</v>
      </c>
      <c r="P249" s="425">
        <f>SUM(O249/L249)*100</f>
        <v>0</v>
      </c>
      <c r="Q249" s="406">
        <f t="shared" si="91"/>
        <v>0</v>
      </c>
      <c r="R249" s="422">
        <f>SUM(Q249/L249)*100</f>
        <v>0</v>
      </c>
      <c r="S249" s="155">
        <f t="shared" si="91"/>
        <v>0</v>
      </c>
      <c r="T249" s="13"/>
    </row>
    <row r="250" spans="1:20" ht="12.75">
      <c r="A250" s="97" t="s">
        <v>706</v>
      </c>
      <c r="B250" s="24" t="s">
        <v>668</v>
      </c>
      <c r="C250" s="24"/>
      <c r="G250" s="155" t="e">
        <f>#REF!</f>
        <v>#REF!</v>
      </c>
      <c r="H250" s="155" t="e">
        <f>#REF!</f>
        <v>#REF!</v>
      </c>
      <c r="I250" s="155" t="e">
        <f>#REF!</f>
        <v>#REF!</v>
      </c>
      <c r="J250" s="155" t="e">
        <f>#REF!</f>
        <v>#REF!</v>
      </c>
      <c r="K250" s="155" t="e">
        <f>#REF!</f>
        <v>#REF!</v>
      </c>
      <c r="L250" s="155">
        <f>SUM(L1302)</f>
        <v>8224</v>
      </c>
      <c r="M250" s="406"/>
      <c r="N250" s="425"/>
      <c r="P250" s="547"/>
      <c r="R250" s="14"/>
      <c r="S250" s="155">
        <f>SUM(S1302)</f>
        <v>7708</v>
      </c>
      <c r="T250" s="13"/>
    </row>
    <row r="251" spans="1:20" ht="12.75">
      <c r="A251" s="97" t="s">
        <v>707</v>
      </c>
      <c r="B251" s="24" t="s">
        <v>197</v>
      </c>
      <c r="C251" s="24"/>
      <c r="G251" s="155">
        <v>0</v>
      </c>
      <c r="H251" s="155">
        <v>0</v>
      </c>
      <c r="I251" s="155">
        <v>0</v>
      </c>
      <c r="J251" s="155">
        <v>0</v>
      </c>
      <c r="K251" s="155">
        <v>1000</v>
      </c>
      <c r="L251" s="155">
        <v>1000</v>
      </c>
      <c r="M251" s="406">
        <f>SUM(M1421)</f>
        <v>0</v>
      </c>
      <c r="N251" s="425">
        <f>SUM(M251/L251)*100</f>
        <v>0</v>
      </c>
      <c r="O251" s="406">
        <f>SUM(O1421)</f>
        <v>0</v>
      </c>
      <c r="P251" s="425">
        <f>SUM(O251/L251)*100</f>
        <v>0</v>
      </c>
      <c r="Q251" s="406">
        <f>SUM(Q1421)</f>
        <v>0</v>
      </c>
      <c r="R251" s="422">
        <f>SUM(Q251/L251)*100</f>
        <v>0</v>
      </c>
      <c r="S251" s="155">
        <f>SUM(S1421)</f>
        <v>0</v>
      </c>
      <c r="T251" s="13"/>
    </row>
    <row r="252" spans="1:20" ht="12.75">
      <c r="A252" s="97" t="s">
        <v>708</v>
      </c>
      <c r="B252" s="24" t="s">
        <v>199</v>
      </c>
      <c r="C252" s="24"/>
      <c r="G252" s="155">
        <f aca="true" t="shared" si="92" ref="G252:S252">G1450</f>
        <v>50</v>
      </c>
      <c r="H252" s="155">
        <f t="shared" si="92"/>
        <v>0</v>
      </c>
      <c r="I252" s="155">
        <f t="shared" si="92"/>
        <v>0</v>
      </c>
      <c r="J252" s="155">
        <f t="shared" si="92"/>
        <v>0</v>
      </c>
      <c r="K252" s="155">
        <f t="shared" si="92"/>
        <v>0</v>
      </c>
      <c r="L252" s="155">
        <f t="shared" si="92"/>
        <v>2000</v>
      </c>
      <c r="M252" s="406">
        <f t="shared" si="92"/>
        <v>0</v>
      </c>
      <c r="N252" s="425"/>
      <c r="O252" s="406">
        <f t="shared" si="92"/>
        <v>0</v>
      </c>
      <c r="P252" s="425"/>
      <c r="Q252" s="406">
        <f t="shared" si="92"/>
        <v>2000</v>
      </c>
      <c r="R252" s="422">
        <f>SUM(Q252/L252)*100</f>
        <v>100</v>
      </c>
      <c r="S252" s="155">
        <f t="shared" si="92"/>
        <v>2000</v>
      </c>
      <c r="T252" s="532">
        <f>SUM(S252/L252)*100</f>
        <v>100</v>
      </c>
    </row>
    <row r="253" spans="1:20" ht="12.75">
      <c r="A253" s="97" t="s">
        <v>669</v>
      </c>
      <c r="B253" s="24" t="s">
        <v>211</v>
      </c>
      <c r="C253" s="24"/>
      <c r="G253" s="155" t="e">
        <f>#REF!</f>
        <v>#REF!</v>
      </c>
      <c r="H253" s="155" t="e">
        <f>#REF!</f>
        <v>#REF!</v>
      </c>
      <c r="I253" s="155" t="e">
        <f>#REF!</f>
        <v>#REF!</v>
      </c>
      <c r="J253" s="155" t="e">
        <f>#REF!</f>
        <v>#REF!</v>
      </c>
      <c r="K253" s="155" t="e">
        <f>#REF!</f>
        <v>#REF!</v>
      </c>
      <c r="L253" s="155">
        <f>SUM(L1659)</f>
        <v>265</v>
      </c>
      <c r="M253" s="406"/>
      <c r="N253" s="425"/>
      <c r="P253" s="547"/>
      <c r="R253" s="14"/>
      <c r="S253" s="26">
        <v>0</v>
      </c>
      <c r="T253" s="13"/>
    </row>
    <row r="254" spans="1:20" ht="12.75">
      <c r="A254" s="71" t="s">
        <v>670</v>
      </c>
      <c r="B254" s="24" t="s">
        <v>710</v>
      </c>
      <c r="C254" s="24"/>
      <c r="G254" s="155">
        <v>6287</v>
      </c>
      <c r="H254" s="155" t="e">
        <f>#REF!+#REF!+#REF!+#REF!+#REF!+#REF!</f>
        <v>#REF!</v>
      </c>
      <c r="I254" s="155" t="e">
        <f>#REF!+#REF!+#REF!+#REF!+#REF!+#REF!</f>
        <v>#REF!</v>
      </c>
      <c r="J254" s="155" t="e">
        <f>#REF!+#REF!+#REF!+#REF!+#REF!+#REF!</f>
        <v>#REF!</v>
      </c>
      <c r="K254" s="155" t="e">
        <f>#REF!+#REF!+#REF!+#REF!+#REF!+#REF!</f>
        <v>#REF!</v>
      </c>
      <c r="L254" s="155">
        <v>7466</v>
      </c>
      <c r="M254" s="406"/>
      <c r="N254" s="425"/>
      <c r="P254" s="547"/>
      <c r="R254" s="14"/>
      <c r="S254" s="155">
        <v>3626</v>
      </c>
      <c r="T254" s="13"/>
    </row>
    <row r="255" spans="1:20" ht="13.5" thickBot="1">
      <c r="A255" s="71" t="s">
        <v>671</v>
      </c>
      <c r="B255" s="24" t="s">
        <v>712</v>
      </c>
      <c r="C255" s="24"/>
      <c r="G255" s="155"/>
      <c r="H255" s="155"/>
      <c r="I255" s="155"/>
      <c r="J255" s="155"/>
      <c r="K255" s="155"/>
      <c r="L255" s="155">
        <v>210</v>
      </c>
      <c r="M255" s="406"/>
      <c r="N255" s="425"/>
      <c r="P255" s="547"/>
      <c r="R255" s="14"/>
      <c r="S255" s="155">
        <v>0</v>
      </c>
      <c r="T255" s="13"/>
    </row>
    <row r="256" spans="1:20" ht="13.5" thickBot="1">
      <c r="A256" s="781" t="s">
        <v>144</v>
      </c>
      <c r="B256" s="703"/>
      <c r="C256" s="704"/>
      <c r="D256" s="704"/>
      <c r="E256" s="704"/>
      <c r="F256" s="702"/>
      <c r="G256" s="701" t="e">
        <f aca="true" t="shared" si="93" ref="G256:S256">SUM(G241:G254)</f>
        <v>#REF!</v>
      </c>
      <c r="H256" s="705" t="e">
        <f t="shared" si="93"/>
        <v>#REF!</v>
      </c>
      <c r="I256" s="705" t="e">
        <f t="shared" si="93"/>
        <v>#REF!</v>
      </c>
      <c r="J256" s="705" t="e">
        <f t="shared" si="93"/>
        <v>#REF!</v>
      </c>
      <c r="K256" s="705" t="e">
        <f t="shared" si="93"/>
        <v>#REF!</v>
      </c>
      <c r="L256" s="701">
        <f>SUM(L241:L255)</f>
        <v>496461</v>
      </c>
      <c r="M256" s="706" t="e">
        <f t="shared" si="93"/>
        <v>#REF!</v>
      </c>
      <c r="N256" s="707" t="e">
        <f>SUM(M256/L256)*100</f>
        <v>#REF!</v>
      </c>
      <c r="O256" s="706" t="e">
        <f t="shared" si="93"/>
        <v>#REF!</v>
      </c>
      <c r="P256" s="707" t="e">
        <f>SUM(O256/L256)*100</f>
        <v>#REF!</v>
      </c>
      <c r="Q256" s="706" t="e">
        <f t="shared" si="93"/>
        <v>#REF!</v>
      </c>
      <c r="R256" s="708" t="e">
        <f>SUM(Q256/L256)*100</f>
        <v>#REF!</v>
      </c>
      <c r="S256" s="701">
        <f t="shared" si="93"/>
        <v>106341</v>
      </c>
      <c r="T256" s="721">
        <f>SUM(S256/L256)*100</f>
        <v>21.419809411011137</v>
      </c>
    </row>
    <row r="257" spans="1:14" ht="12.75">
      <c r="A257" s="24"/>
      <c r="B257" s="163"/>
      <c r="C257" s="24"/>
      <c r="G257" s="164"/>
      <c r="H257" s="57"/>
      <c r="I257" s="57"/>
      <c r="J257" s="57"/>
      <c r="K257" s="57"/>
      <c r="L257" s="57"/>
      <c r="M257" s="57"/>
      <c r="N257" s="427"/>
    </row>
    <row r="258" spans="1:14" ht="12.75">
      <c r="A258" s="24"/>
      <c r="B258" s="163"/>
      <c r="C258" s="24"/>
      <c r="G258" s="164"/>
      <c r="H258" s="57"/>
      <c r="I258" s="57"/>
      <c r="J258" s="57"/>
      <c r="K258" s="57"/>
      <c r="L258" s="57"/>
      <c r="M258" s="57"/>
      <c r="N258" s="427"/>
    </row>
    <row r="259" spans="1:14" ht="12.75">
      <c r="A259" s="24"/>
      <c r="B259" s="163"/>
      <c r="C259" s="24"/>
      <c r="G259" s="164"/>
      <c r="H259" s="57"/>
      <c r="I259" s="57"/>
      <c r="J259" s="57"/>
      <c r="K259" s="57"/>
      <c r="L259" s="57"/>
      <c r="M259" s="57"/>
      <c r="N259" s="427"/>
    </row>
    <row r="260" spans="1:11" ht="15.75">
      <c r="A260" s="165"/>
      <c r="B260" s="12"/>
      <c r="C260" s="12"/>
      <c r="G260" s="162"/>
      <c r="H260" s="12"/>
      <c r="I260" s="12"/>
      <c r="J260" s="12"/>
      <c r="K260" s="12"/>
    </row>
    <row r="261" spans="1:22" s="2" customFormat="1" ht="16.5" thickBot="1">
      <c r="A261" s="165" t="s">
        <v>672</v>
      </c>
      <c r="B261" s="165"/>
      <c r="C261" s="165"/>
      <c r="D261" s="165"/>
      <c r="E261" s="165"/>
      <c r="F261" s="165"/>
      <c r="G261" s="106"/>
      <c r="H261" s="165"/>
      <c r="I261" s="165"/>
      <c r="J261" s="165"/>
      <c r="K261" s="165"/>
      <c r="L261" s="236"/>
      <c r="M261" s="236"/>
      <c r="N261" s="750"/>
      <c r="O261" s="401"/>
      <c r="Q261" s="401"/>
      <c r="S261" s="401"/>
      <c r="U261" s="401"/>
      <c r="V261" s="401"/>
    </row>
    <row r="262" spans="1:20" ht="13.5" thickBot="1">
      <c r="A262" s="133"/>
      <c r="B262" s="134"/>
      <c r="C262" s="134"/>
      <c r="D262" s="134"/>
      <c r="E262" s="135"/>
      <c r="F262" s="135"/>
      <c r="G262" s="15" t="s">
        <v>23</v>
      </c>
      <c r="H262" s="136"/>
      <c r="I262" s="137" t="s">
        <v>155</v>
      </c>
      <c r="J262" s="138" t="s">
        <v>156</v>
      </c>
      <c r="K262" s="10" t="s">
        <v>25</v>
      </c>
      <c r="L262" s="238" t="s">
        <v>645</v>
      </c>
      <c r="M262" s="403" t="s">
        <v>296</v>
      </c>
      <c r="N262" s="426" t="s">
        <v>683</v>
      </c>
      <c r="O262" s="403" t="s">
        <v>296</v>
      </c>
      <c r="P262" s="421" t="s">
        <v>681</v>
      </c>
      <c r="Q262" s="403" t="s">
        <v>296</v>
      </c>
      <c r="R262" s="421" t="s">
        <v>681</v>
      </c>
      <c r="S262" s="403" t="s">
        <v>296</v>
      </c>
      <c r="T262" s="421" t="s">
        <v>681</v>
      </c>
    </row>
    <row r="263" spans="1:20" ht="13.5" thickTop="1">
      <c r="A263" s="139" t="s">
        <v>157</v>
      </c>
      <c r="B263" s="140" t="s">
        <v>158</v>
      </c>
      <c r="C263" s="141"/>
      <c r="D263" s="142"/>
      <c r="E263" s="142"/>
      <c r="F263" s="142"/>
      <c r="G263" s="11" t="s">
        <v>45</v>
      </c>
      <c r="H263" s="32" t="s">
        <v>27</v>
      </c>
      <c r="I263" s="6" t="s">
        <v>92</v>
      </c>
      <c r="J263" s="108" t="s">
        <v>29</v>
      </c>
      <c r="K263" s="33" t="s">
        <v>46</v>
      </c>
      <c r="L263" s="208"/>
      <c r="M263" s="25" t="s">
        <v>297</v>
      </c>
      <c r="N263" s="425"/>
      <c r="O263" s="25" t="s">
        <v>750</v>
      </c>
      <c r="P263" s="422"/>
      <c r="Q263" s="25" t="s">
        <v>896</v>
      </c>
      <c r="R263" s="422"/>
      <c r="S263" s="25" t="s">
        <v>957</v>
      </c>
      <c r="T263" s="422"/>
    </row>
    <row r="264" spans="1:20" ht="13.5" thickBot="1">
      <c r="A264" s="143"/>
      <c r="B264" s="144"/>
      <c r="C264" s="145"/>
      <c r="D264" s="145"/>
      <c r="E264" s="146"/>
      <c r="F264" s="147"/>
      <c r="G264" s="83"/>
      <c r="H264" s="84">
        <v>38335</v>
      </c>
      <c r="I264" s="148">
        <v>38587</v>
      </c>
      <c r="J264" s="110" t="s">
        <v>31</v>
      </c>
      <c r="K264" s="33" t="s">
        <v>32</v>
      </c>
      <c r="L264" s="242"/>
      <c r="M264" s="404"/>
      <c r="N264" s="429"/>
      <c r="O264" s="404"/>
      <c r="P264" s="423"/>
      <c r="Q264" s="404"/>
      <c r="R264" s="423"/>
      <c r="S264" s="404"/>
      <c r="T264" s="423"/>
    </row>
    <row r="265" spans="1:20" ht="13.5" thickBot="1">
      <c r="A265" s="149" t="s">
        <v>47</v>
      </c>
      <c r="B265" s="150"/>
      <c r="C265" s="151"/>
      <c r="D265" s="151" t="s">
        <v>48</v>
      </c>
      <c r="E265" s="151"/>
      <c r="F265" s="151"/>
      <c r="G265" s="152">
        <v>1</v>
      </c>
      <c r="H265" s="41">
        <v>2</v>
      </c>
      <c r="I265" s="22">
        <v>3</v>
      </c>
      <c r="J265" s="22">
        <v>4</v>
      </c>
      <c r="K265" s="40">
        <v>1</v>
      </c>
      <c r="L265" s="599">
        <v>1</v>
      </c>
      <c r="N265" s="424"/>
      <c r="P265" s="551"/>
      <c r="R265" s="6"/>
      <c r="S265" s="30"/>
      <c r="T265" s="5"/>
    </row>
    <row r="266" spans="1:20" ht="12.75">
      <c r="A266" s="166" t="s">
        <v>159</v>
      </c>
      <c r="B266" s="167" t="s">
        <v>160</v>
      </c>
      <c r="C266" s="168"/>
      <c r="D266" s="4"/>
      <c r="E266" s="4"/>
      <c r="F266" s="5"/>
      <c r="G266" s="154">
        <f>G458</f>
        <v>0</v>
      </c>
      <c r="H266" s="154">
        <f>H458</f>
        <v>0</v>
      </c>
      <c r="I266" s="169">
        <f>I466</f>
        <v>119</v>
      </c>
      <c r="J266" s="154">
        <f>J466</f>
        <v>75</v>
      </c>
      <c r="K266" s="169">
        <f>K466</f>
        <v>70</v>
      </c>
      <c r="L266" s="154">
        <f>L466</f>
        <v>1470</v>
      </c>
      <c r="M266" s="405">
        <f>M466</f>
        <v>6</v>
      </c>
      <c r="N266" s="425">
        <f>SUM(M266/L266)*100</f>
        <v>0.40816326530612246</v>
      </c>
      <c r="O266" s="405">
        <f>O466</f>
        <v>222</v>
      </c>
      <c r="P266" s="425">
        <f>SUM(O266/L266)*100</f>
        <v>15.10204081632653</v>
      </c>
      <c r="Q266" s="405">
        <f>Q466</f>
        <v>228</v>
      </c>
      <c r="R266" s="421">
        <f>SUM(Q266/L266)*100</f>
        <v>15.510204081632653</v>
      </c>
      <c r="S266" s="154">
        <f>S466</f>
        <v>234</v>
      </c>
      <c r="T266" s="421">
        <f>SUM(S266/L266)*100</f>
        <v>15.918367346938775</v>
      </c>
    </row>
    <row r="267" spans="1:20" ht="12.75">
      <c r="A267" s="23" t="s">
        <v>224</v>
      </c>
      <c r="B267" s="23" t="s">
        <v>168</v>
      </c>
      <c r="C267" s="24"/>
      <c r="D267" s="12"/>
      <c r="E267" s="12"/>
      <c r="F267" s="13"/>
      <c r="G267" s="155">
        <f aca="true" t="shared" si="94" ref="G267:S267">G575</f>
        <v>4514</v>
      </c>
      <c r="H267" s="155">
        <f t="shared" si="94"/>
        <v>18257</v>
      </c>
      <c r="I267" s="164">
        <f t="shared" si="94"/>
        <v>21189</v>
      </c>
      <c r="J267" s="155">
        <f t="shared" si="94"/>
        <v>10205</v>
      </c>
      <c r="K267" s="164">
        <f t="shared" si="94"/>
        <v>21190</v>
      </c>
      <c r="L267" s="155">
        <f t="shared" si="94"/>
        <v>125910</v>
      </c>
      <c r="M267" s="406">
        <f t="shared" si="94"/>
        <v>4905</v>
      </c>
      <c r="N267" s="425">
        <f>SUM(M267/L267)*100</f>
        <v>3.895639742673338</v>
      </c>
      <c r="O267" s="406">
        <f t="shared" si="94"/>
        <v>5384</v>
      </c>
      <c r="P267" s="425">
        <f>SUM(O267/L267)*100</f>
        <v>4.276070208879358</v>
      </c>
      <c r="Q267" s="406">
        <f t="shared" si="94"/>
        <v>7922</v>
      </c>
      <c r="R267" s="422">
        <f>SUM(Q267/L267)*100</f>
        <v>6.291795727106663</v>
      </c>
      <c r="S267" s="155">
        <f t="shared" si="94"/>
        <v>9358</v>
      </c>
      <c r="T267" s="13"/>
    </row>
    <row r="268" spans="1:20" ht="13.5" thickBot="1">
      <c r="A268" s="23" t="s">
        <v>225</v>
      </c>
      <c r="B268" s="23" t="s">
        <v>170</v>
      </c>
      <c r="C268" s="24"/>
      <c r="D268" s="12"/>
      <c r="E268" s="12"/>
      <c r="F268" s="13"/>
      <c r="G268" s="170">
        <f aca="true" t="shared" si="95" ref="G268:S268">G752</f>
        <v>0</v>
      </c>
      <c r="H268" s="170">
        <f t="shared" si="95"/>
        <v>0</v>
      </c>
      <c r="I268" s="171">
        <f t="shared" si="95"/>
        <v>1050</v>
      </c>
      <c r="J268" s="170">
        <f t="shared" si="95"/>
        <v>56</v>
      </c>
      <c r="K268" s="171">
        <f t="shared" si="95"/>
        <v>1050</v>
      </c>
      <c r="L268" s="170">
        <f t="shared" si="95"/>
        <v>1050</v>
      </c>
      <c r="M268" s="408">
        <f t="shared" si="95"/>
        <v>118</v>
      </c>
      <c r="N268" s="425">
        <f>SUM(M268/L268)*100</f>
        <v>11.238095238095239</v>
      </c>
      <c r="O268" s="408">
        <f t="shared" si="95"/>
        <v>225</v>
      </c>
      <c r="P268" s="425">
        <f>SUM(O268/L268)*100</f>
        <v>21.428571428571427</v>
      </c>
      <c r="Q268" s="408">
        <f t="shared" si="95"/>
        <v>281</v>
      </c>
      <c r="R268" s="422">
        <f>SUM(Q268/L268)*100</f>
        <v>26.761904761904766</v>
      </c>
      <c r="S268" s="170">
        <f t="shared" si="95"/>
        <v>337</v>
      </c>
      <c r="T268" s="13"/>
    </row>
    <row r="269" spans="1:20" ht="16.5" thickBot="1">
      <c r="A269" s="172"/>
      <c r="B269" s="172" t="s">
        <v>226</v>
      </c>
      <c r="C269" s="102"/>
      <c r="D269" s="103"/>
      <c r="E269" s="103"/>
      <c r="F269" s="101"/>
      <c r="G269" s="173">
        <f aca="true" t="shared" si="96" ref="G269:M269">SUM(G266:G268)</f>
        <v>4514</v>
      </c>
      <c r="H269" s="174">
        <f t="shared" si="96"/>
        <v>18257</v>
      </c>
      <c r="I269" s="174">
        <f t="shared" si="96"/>
        <v>22358</v>
      </c>
      <c r="J269" s="175">
        <f t="shared" si="96"/>
        <v>10336</v>
      </c>
      <c r="K269" s="176">
        <f t="shared" si="96"/>
        <v>22310</v>
      </c>
      <c r="L269" s="175">
        <f t="shared" si="96"/>
        <v>128430</v>
      </c>
      <c r="M269" s="174">
        <f t="shared" si="96"/>
        <v>5029</v>
      </c>
      <c r="N269" s="439">
        <f>SUM(M269/L269)*100</f>
        <v>3.9157517713929764</v>
      </c>
      <c r="O269" s="174">
        <f>SUM(O266:O268)</f>
        <v>5831</v>
      </c>
      <c r="P269" s="439">
        <f>SUM(O269/L269)*100</f>
        <v>4.540216460328584</v>
      </c>
      <c r="Q269" s="174">
        <f>SUM(Q266:Q268)</f>
        <v>8431</v>
      </c>
      <c r="R269" s="629">
        <f>SUM(Q269/L269)*100</f>
        <v>6.5646655765786806</v>
      </c>
      <c r="S269" s="175">
        <f>SUM(S266:S268)</f>
        <v>9929</v>
      </c>
      <c r="T269" s="439">
        <f>SUM(S269/L269)*100</f>
        <v>7.73105972124893</v>
      </c>
    </row>
    <row r="270" spans="1:14" ht="12.75">
      <c r="A270" s="95"/>
      <c r="B270" s="95"/>
      <c r="C270" s="95"/>
      <c r="D270" s="12"/>
      <c r="E270" s="12"/>
      <c r="F270" s="12"/>
      <c r="G270" s="34"/>
      <c r="H270" s="142"/>
      <c r="I270" s="34"/>
      <c r="J270" s="34"/>
      <c r="K270" s="95"/>
      <c r="L270" s="600"/>
      <c r="M270" s="52"/>
      <c r="N270" s="428"/>
    </row>
    <row r="271" spans="1:14" ht="12.75">
      <c r="A271" s="95"/>
      <c r="B271" s="95"/>
      <c r="C271" s="95"/>
      <c r="D271" s="12"/>
      <c r="E271" s="12"/>
      <c r="F271" s="12"/>
      <c r="G271" s="34"/>
      <c r="H271" s="142"/>
      <c r="I271" s="34"/>
      <c r="J271" s="34"/>
      <c r="K271" s="95"/>
      <c r="L271" s="600"/>
      <c r="M271" s="52"/>
      <c r="N271" s="428"/>
    </row>
    <row r="272" spans="1:14" ht="12.75">
      <c r="A272" s="95"/>
      <c r="B272" s="95"/>
      <c r="C272" s="95"/>
      <c r="D272" s="12"/>
      <c r="E272" s="12"/>
      <c r="F272" s="12"/>
      <c r="G272" s="34"/>
      <c r="H272" s="142"/>
      <c r="I272" s="34"/>
      <c r="J272" s="34"/>
      <c r="K272" s="95"/>
      <c r="L272" s="600"/>
      <c r="M272" s="52"/>
      <c r="N272" s="428"/>
    </row>
    <row r="273" spans="8:10" ht="12.75">
      <c r="H273" s="12"/>
      <c r="I273" s="34"/>
      <c r="J273" s="12"/>
    </row>
    <row r="274" spans="1:10" ht="15.75">
      <c r="A274" s="1" t="s">
        <v>227</v>
      </c>
      <c r="H274" s="12"/>
      <c r="I274" s="12"/>
      <c r="J274" s="12"/>
    </row>
    <row r="275" spans="1:10" ht="16.5" thickBot="1">
      <c r="A275" s="1"/>
      <c r="H275" s="12"/>
      <c r="I275" s="12"/>
      <c r="J275" s="12"/>
    </row>
    <row r="276" spans="1:22" ht="13.5" thickBot="1">
      <c r="A276" s="177" t="s">
        <v>44</v>
      </c>
      <c r="B276" s="178"/>
      <c r="C276" s="178"/>
      <c r="D276" s="179"/>
      <c r="E276" s="179"/>
      <c r="F276" s="179"/>
      <c r="G276" s="15" t="s">
        <v>23</v>
      </c>
      <c r="H276" s="136"/>
      <c r="I276" s="137" t="s">
        <v>155</v>
      </c>
      <c r="J276" s="138" t="s">
        <v>156</v>
      </c>
      <c r="K276" s="10" t="s">
        <v>25</v>
      </c>
      <c r="L276" s="238" t="s">
        <v>645</v>
      </c>
      <c r="M276" s="403" t="s">
        <v>296</v>
      </c>
      <c r="N276" s="421" t="s">
        <v>683</v>
      </c>
      <c r="O276" s="415" t="s">
        <v>296</v>
      </c>
      <c r="P276" s="426" t="s">
        <v>683</v>
      </c>
      <c r="Q276" s="415" t="s">
        <v>296</v>
      </c>
      <c r="R276" s="426" t="s">
        <v>681</v>
      </c>
      <c r="S276" s="415" t="s">
        <v>296</v>
      </c>
      <c r="T276" s="426" t="s">
        <v>681</v>
      </c>
      <c r="U276" s="415" t="s">
        <v>296</v>
      </c>
      <c r="V276" s="785" t="s">
        <v>681</v>
      </c>
    </row>
    <row r="277" spans="1:22" ht="16.5" thickTop="1">
      <c r="A277" s="180" t="s">
        <v>159</v>
      </c>
      <c r="B277" s="181" t="s">
        <v>160</v>
      </c>
      <c r="C277" s="182"/>
      <c r="D277" s="12"/>
      <c r="E277" s="12"/>
      <c r="F277" s="12"/>
      <c r="G277" s="11" t="s">
        <v>45</v>
      </c>
      <c r="H277" s="32" t="s">
        <v>27</v>
      </c>
      <c r="I277" s="6" t="s">
        <v>92</v>
      </c>
      <c r="J277" s="108" t="s">
        <v>29</v>
      </c>
      <c r="K277" s="33" t="s">
        <v>46</v>
      </c>
      <c r="L277" s="208"/>
      <c r="M277" s="25" t="s">
        <v>297</v>
      </c>
      <c r="N277" s="422"/>
      <c r="O277" s="416" t="s">
        <v>750</v>
      </c>
      <c r="P277" s="547"/>
      <c r="Q277" s="416" t="s">
        <v>896</v>
      </c>
      <c r="R277" s="547"/>
      <c r="S277" s="416" t="s">
        <v>957</v>
      </c>
      <c r="T277" s="547"/>
      <c r="U277" s="416" t="s">
        <v>252</v>
      </c>
      <c r="V277" s="786"/>
    </row>
    <row r="278" spans="1:22" ht="13.5" thickBot="1">
      <c r="A278" s="183"/>
      <c r="B278" s="184"/>
      <c r="C278" s="185"/>
      <c r="D278" s="37"/>
      <c r="E278" s="37"/>
      <c r="F278" s="37"/>
      <c r="G278" s="83"/>
      <c r="H278" s="84">
        <v>38335</v>
      </c>
      <c r="I278" s="148">
        <v>38587</v>
      </c>
      <c r="J278" s="110" t="s">
        <v>31</v>
      </c>
      <c r="K278" s="33" t="s">
        <v>32</v>
      </c>
      <c r="L278" s="242"/>
      <c r="M278" s="404"/>
      <c r="N278" s="423"/>
      <c r="O278" s="411"/>
      <c r="P278" s="548"/>
      <c r="Q278" s="411"/>
      <c r="R278" s="548"/>
      <c r="S278" s="411"/>
      <c r="T278" s="548"/>
      <c r="U278" s="411"/>
      <c r="V278" s="787"/>
    </row>
    <row r="279" spans="1:20" ht="13.5" thickBot="1">
      <c r="A279" s="186" t="s">
        <v>47</v>
      </c>
      <c r="B279" s="187"/>
      <c r="C279" s="39"/>
      <c r="D279" s="188" t="s">
        <v>48</v>
      </c>
      <c r="E279" s="19"/>
      <c r="F279" s="19"/>
      <c r="G279" s="152">
        <v>1</v>
      </c>
      <c r="H279" s="41">
        <v>2</v>
      </c>
      <c r="I279" s="22">
        <v>3</v>
      </c>
      <c r="J279" s="22">
        <v>4</v>
      </c>
      <c r="K279" s="40">
        <v>1</v>
      </c>
      <c r="L279" s="599">
        <v>1</v>
      </c>
      <c r="M279" s="409"/>
      <c r="N279" s="424"/>
      <c r="O279" s="416"/>
      <c r="P279" s="547"/>
      <c r="R279" s="556"/>
      <c r="T279" s="556"/>
    </row>
    <row r="280" spans="1:22" s="28" customFormat="1" ht="15">
      <c r="A280" s="371"/>
      <c r="B280" s="372" t="s">
        <v>228</v>
      </c>
      <c r="C280" s="372"/>
      <c r="D280" s="373"/>
      <c r="E280" s="373"/>
      <c r="F280" s="373"/>
      <c r="G280" s="390" t="e">
        <f>G282+G432+G458</f>
        <v>#REF!</v>
      </c>
      <c r="H280" s="391" t="e">
        <f>H282+H432</f>
        <v>#REF!</v>
      </c>
      <c r="I280" s="390" t="e">
        <f>I282+I432</f>
        <v>#REF!</v>
      </c>
      <c r="J280" s="392" t="e">
        <f>J282+J432</f>
        <v>#REF!</v>
      </c>
      <c r="K280" s="390" t="e">
        <f>K282+K432</f>
        <v>#REF!</v>
      </c>
      <c r="L280" s="390">
        <f>L282+L432+L466</f>
        <v>89163</v>
      </c>
      <c r="M280" s="410" t="e">
        <f>M282+M432+M458</f>
        <v>#REF!</v>
      </c>
      <c r="N280" s="440" t="e">
        <f>SUM(M280/L280)*100</f>
        <v>#REF!</v>
      </c>
      <c r="O280" s="535" t="e">
        <f>O282+O432+O458</f>
        <v>#REF!</v>
      </c>
      <c r="P280" s="567" t="e">
        <f>SUM(O280/L280)*100</f>
        <v>#REF!</v>
      </c>
      <c r="Q280" s="392" t="e">
        <f>Q282+Q432+Q458</f>
        <v>#REF!</v>
      </c>
      <c r="R280" s="567" t="e">
        <f>SUM(Q280/L280)*100</f>
        <v>#REF!</v>
      </c>
      <c r="S280" s="392">
        <f>S282+S432+S458</f>
        <v>34340</v>
      </c>
      <c r="T280" s="567">
        <f>SUM(S280/L280)*100</f>
        <v>38.51373327501318</v>
      </c>
      <c r="U280" s="392">
        <f>U282+U432+U458</f>
        <v>41603</v>
      </c>
      <c r="V280" s="783"/>
    </row>
    <row r="281" spans="1:20" ht="12.75">
      <c r="A281" s="14"/>
      <c r="B281" s="12"/>
      <c r="C281" s="12"/>
      <c r="D281" s="12"/>
      <c r="E281" s="12"/>
      <c r="F281" s="12"/>
      <c r="G281" s="14"/>
      <c r="H281" s="52"/>
      <c r="I281" s="14"/>
      <c r="J281" s="11"/>
      <c r="K281" s="14"/>
      <c r="L281" s="26"/>
      <c r="N281" s="425"/>
      <c r="O281" s="416"/>
      <c r="P281" s="547"/>
      <c r="R281" s="547"/>
      <c r="T281" s="547"/>
    </row>
    <row r="282" spans="1:22" s="131" customFormat="1" ht="12.75">
      <c r="A282" s="196">
        <v>600</v>
      </c>
      <c r="B282" s="237" t="s">
        <v>37</v>
      </c>
      <c r="C282" s="237"/>
      <c r="D282" s="24"/>
      <c r="E282" s="24"/>
      <c r="F282" s="24"/>
      <c r="G282" s="374">
        <f>G283+G301+G305+G317+G355+G365+G377+G382+G427++G288</f>
        <v>64981</v>
      </c>
      <c r="H282" s="122">
        <f aca="true" t="shared" si="97" ref="H282:M282">H283+H288+H301+H305+H317+H355+H365+H377+H382+H427</f>
        <v>139562</v>
      </c>
      <c r="I282" s="375">
        <f t="shared" si="97"/>
        <v>141725</v>
      </c>
      <c r="J282" s="376">
        <f t="shared" si="97"/>
        <v>25375</v>
      </c>
      <c r="K282" s="375">
        <f t="shared" si="97"/>
        <v>69070</v>
      </c>
      <c r="L282" s="375">
        <f t="shared" si="97"/>
        <v>79209</v>
      </c>
      <c r="M282" s="376" t="e">
        <f t="shared" si="97"/>
        <v>#REF!</v>
      </c>
      <c r="N282" s="431" t="e">
        <f>SUM(M282/L282)*100</f>
        <v>#REF!</v>
      </c>
      <c r="O282" s="546" t="e">
        <f>O283+O288+O301+O305+O317+O355+O365+O377+O382+O427</f>
        <v>#REF!</v>
      </c>
      <c r="P282" s="431" t="e">
        <f>SUM(O282/L282)*100</f>
        <v>#REF!</v>
      </c>
      <c r="Q282" s="376" t="e">
        <f>Q283+Q288+Q301+Q305+Q317+Q355+Q365+Q377+Q382+Q427</f>
        <v>#REF!</v>
      </c>
      <c r="R282" s="431" t="e">
        <f>SUM(Q282/L282)*100</f>
        <v>#REF!</v>
      </c>
      <c r="S282" s="376">
        <f>S283+S288+S301+S305+S317+S355+S365+S377+S382+S427</f>
        <v>33549</v>
      </c>
      <c r="T282" s="431">
        <f>SUM(S282/L282)*100</f>
        <v>42.35503541264251</v>
      </c>
      <c r="U282" s="376">
        <f>U283+U288+U301+U305+U317+U355+U365+U377+U382+U427</f>
        <v>38856</v>
      </c>
      <c r="V282" s="389"/>
    </row>
    <row r="283" spans="1:22" s="109" customFormat="1" ht="12.75">
      <c r="A283" s="66">
        <v>610</v>
      </c>
      <c r="B283" s="49" t="s">
        <v>229</v>
      </c>
      <c r="C283" s="49"/>
      <c r="D283" s="237"/>
      <c r="E283" s="237"/>
      <c r="F283" s="237"/>
      <c r="G283" s="193">
        <v>25086</v>
      </c>
      <c r="H283" s="194">
        <v>29880</v>
      </c>
      <c r="I283" s="193">
        <v>29880</v>
      </c>
      <c r="J283" s="195">
        <v>10511</v>
      </c>
      <c r="K283" s="50">
        <f>31548+500</f>
        <v>32048</v>
      </c>
      <c r="L283" s="197">
        <f>SUM(L284+L285+L286)</f>
        <v>32705</v>
      </c>
      <c r="M283" s="197">
        <f>SUM(M284+M285+M286)</f>
        <v>4613</v>
      </c>
      <c r="N283" s="433">
        <f>SUM(M283/L283)*100</f>
        <v>14.104876930133006</v>
      </c>
      <c r="O283" s="542">
        <f>SUM(O284+O285+O286)</f>
        <v>7133</v>
      </c>
      <c r="P283" s="433">
        <f>SUM(O283/L283)*100</f>
        <v>21.810120776639657</v>
      </c>
      <c r="Q283" s="197">
        <f>SUM(Q284+Q285+Q286)</f>
        <v>12159</v>
      </c>
      <c r="R283" s="433">
        <f>SUM(Q283/L283)*100</f>
        <v>37.17780155939459</v>
      </c>
      <c r="S283" s="197">
        <f>SUM(S284+S285+S286)</f>
        <v>11990</v>
      </c>
      <c r="T283" s="433">
        <f>SUM(S283/L283)*100</f>
        <v>36.661060999847116</v>
      </c>
      <c r="U283" s="197">
        <f>SUM(U284+U285+U286)</f>
        <v>15136</v>
      </c>
      <c r="V283" s="121"/>
    </row>
    <row r="284" spans="1:22" s="131" customFormat="1" ht="12.75">
      <c r="A284" s="71">
        <v>611</v>
      </c>
      <c r="B284" s="24" t="s">
        <v>338</v>
      </c>
      <c r="C284" s="24"/>
      <c r="D284" s="24"/>
      <c r="E284" s="24"/>
      <c r="F284" s="24"/>
      <c r="G284" s="56"/>
      <c r="H284" s="57"/>
      <c r="I284" s="56"/>
      <c r="J284" s="200"/>
      <c r="K284" s="92"/>
      <c r="L284" s="92">
        <v>23714</v>
      </c>
      <c r="M284" s="389">
        <v>3634</v>
      </c>
      <c r="N284" s="425">
        <f>SUM(M284/L284)*100</f>
        <v>15.324281015433922</v>
      </c>
      <c r="O284" s="543">
        <v>5425</v>
      </c>
      <c r="P284" s="425">
        <f>SUM(O284/L284)*100</f>
        <v>22.87678164797166</v>
      </c>
      <c r="Q284" s="389">
        <v>9559</v>
      </c>
      <c r="R284" s="425">
        <f>SUM(Q284/L284)*100</f>
        <v>40.30952180146748</v>
      </c>
      <c r="S284" s="389">
        <v>9390</v>
      </c>
      <c r="T284" s="425">
        <f>SUM(S284/L284)*100</f>
        <v>39.59686261280256</v>
      </c>
      <c r="U284" s="389">
        <v>11349</v>
      </c>
      <c r="V284" s="389"/>
    </row>
    <row r="285" spans="1:22" s="131" customFormat="1" ht="12.75">
      <c r="A285" s="71">
        <v>612</v>
      </c>
      <c r="B285" s="24" t="s">
        <v>339</v>
      </c>
      <c r="C285" s="24"/>
      <c r="D285" s="24"/>
      <c r="E285" s="24"/>
      <c r="F285" s="24"/>
      <c r="G285" s="56"/>
      <c r="H285" s="57"/>
      <c r="I285" s="56"/>
      <c r="J285" s="200"/>
      <c r="K285" s="92"/>
      <c r="L285" s="92">
        <v>5841</v>
      </c>
      <c r="M285" s="389">
        <v>942</v>
      </c>
      <c r="N285" s="425">
        <f>SUM(M285/L285)*100</f>
        <v>16.12737544940935</v>
      </c>
      <c r="O285" s="543">
        <v>1430</v>
      </c>
      <c r="P285" s="425">
        <f>SUM(O285/L285)*100</f>
        <v>24.48210922787194</v>
      </c>
      <c r="Q285" s="389">
        <v>2309</v>
      </c>
      <c r="R285" s="425">
        <f>SUM(Q285/L285)*100</f>
        <v>39.53090224276665</v>
      </c>
      <c r="S285" s="389">
        <v>2309</v>
      </c>
      <c r="T285" s="425">
        <f>SUM(S285/L285)*100</f>
        <v>39.53090224276665</v>
      </c>
      <c r="U285" s="389">
        <v>2732</v>
      </c>
      <c r="V285" s="389"/>
    </row>
    <row r="286" spans="1:22" s="131" customFormat="1" ht="12.75">
      <c r="A286" s="71">
        <v>614</v>
      </c>
      <c r="B286" s="24" t="s">
        <v>340</v>
      </c>
      <c r="C286" s="24"/>
      <c r="D286" s="24"/>
      <c r="E286" s="24"/>
      <c r="F286" s="24"/>
      <c r="G286" s="56"/>
      <c r="H286" s="57"/>
      <c r="I286" s="56"/>
      <c r="J286" s="200"/>
      <c r="K286" s="92"/>
      <c r="L286" s="92">
        <v>3150</v>
      </c>
      <c r="M286" s="389">
        <v>37</v>
      </c>
      <c r="N286" s="425">
        <f>SUM(M286/L286)*100</f>
        <v>1.1746031746031746</v>
      </c>
      <c r="O286" s="543">
        <v>278</v>
      </c>
      <c r="P286" s="425">
        <f>SUM(O286/L286)*100</f>
        <v>8.825396825396826</v>
      </c>
      <c r="Q286" s="389">
        <v>291</v>
      </c>
      <c r="R286" s="425">
        <f>SUM(Q286/L286)*100</f>
        <v>9.238095238095239</v>
      </c>
      <c r="S286" s="389">
        <v>291</v>
      </c>
      <c r="T286" s="425">
        <f>SUM(S286/L286)*100</f>
        <v>9.238095238095239</v>
      </c>
      <c r="U286" s="389">
        <v>1055</v>
      </c>
      <c r="V286" s="389"/>
    </row>
    <row r="287" spans="1:20" ht="12.75">
      <c r="A287" s="14"/>
      <c r="B287" s="12"/>
      <c r="C287" s="12"/>
      <c r="D287" s="12"/>
      <c r="E287" s="12"/>
      <c r="F287" s="12"/>
      <c r="G287" s="14"/>
      <c r="H287" s="52"/>
      <c r="I287" s="14"/>
      <c r="J287" s="11"/>
      <c r="K287" s="196"/>
      <c r="L287" s="375"/>
      <c r="N287" s="425"/>
      <c r="O287" s="416"/>
      <c r="P287" s="547"/>
      <c r="R287" s="547"/>
      <c r="T287" s="547"/>
    </row>
    <row r="288" spans="1:22" s="109" customFormat="1" ht="12.75">
      <c r="A288" s="66">
        <v>620</v>
      </c>
      <c r="B288" s="49" t="s">
        <v>230</v>
      </c>
      <c r="C288" s="49"/>
      <c r="D288" s="237"/>
      <c r="E288" s="237"/>
      <c r="F288" s="237"/>
      <c r="G288" s="193">
        <v>8246</v>
      </c>
      <c r="H288" s="51">
        <v>10743</v>
      </c>
      <c r="I288" s="50">
        <v>10743</v>
      </c>
      <c r="J288" s="197">
        <v>3547</v>
      </c>
      <c r="K288" s="50">
        <f>11201+300</f>
        <v>11501</v>
      </c>
      <c r="L288" s="197">
        <f>SUM(L289+L290+L291+L292+L299)</f>
        <v>11740</v>
      </c>
      <c r="M288" s="197">
        <f>SUM(M289+M290+M291+M292+M299)</f>
        <v>1582</v>
      </c>
      <c r="N288" s="433">
        <f aca="true" t="shared" si="98" ref="N288:N299">SUM(M288/L288)*100</f>
        <v>13.475298126064736</v>
      </c>
      <c r="O288" s="542">
        <f>SUM(O289+O290+O291+O292+O299)</f>
        <v>2402</v>
      </c>
      <c r="P288" s="433">
        <f aca="true" t="shared" si="99" ref="P288:P299">SUM(O288/L288)*100</f>
        <v>20.459965928449744</v>
      </c>
      <c r="Q288" s="197">
        <f>SUM(Q289+Q290+Q291+Q292+Q299)</f>
        <v>4110</v>
      </c>
      <c r="R288" s="433">
        <f aca="true" t="shared" si="100" ref="R288:R299">SUM(Q288/L288)*100</f>
        <v>35.00851788756388</v>
      </c>
      <c r="S288" s="197">
        <f>SUM(S289+S290+S291+S292+S299)</f>
        <v>4109</v>
      </c>
      <c r="T288" s="433">
        <f aca="true" t="shared" si="101" ref="T288:T299">SUM(S288/L288)*100</f>
        <v>35</v>
      </c>
      <c r="U288" s="197">
        <f>SUM(U289+U290+U291+U292+U299)</f>
        <v>5132</v>
      </c>
      <c r="V288" s="121"/>
    </row>
    <row r="289" spans="1:22" s="131" customFormat="1" ht="12.75">
      <c r="A289" s="71">
        <v>621</v>
      </c>
      <c r="B289" s="24" t="s">
        <v>341</v>
      </c>
      <c r="C289" s="24"/>
      <c r="D289" s="24"/>
      <c r="E289" s="24"/>
      <c r="F289" s="24"/>
      <c r="G289" s="56"/>
      <c r="H289" s="91"/>
      <c r="I289" s="92"/>
      <c r="J289" s="206"/>
      <c r="K289" s="92"/>
      <c r="L289" s="92">
        <v>1811</v>
      </c>
      <c r="M289" s="389">
        <v>308</v>
      </c>
      <c r="N289" s="425">
        <f t="shared" si="98"/>
        <v>17.007178354500276</v>
      </c>
      <c r="O289" s="543">
        <v>465</v>
      </c>
      <c r="P289" s="425">
        <f t="shared" si="99"/>
        <v>25.676421866372166</v>
      </c>
      <c r="Q289" s="389">
        <v>802</v>
      </c>
      <c r="R289" s="425">
        <f t="shared" si="100"/>
        <v>44.28492545554942</v>
      </c>
      <c r="S289" s="389">
        <v>801</v>
      </c>
      <c r="T289" s="425">
        <f t="shared" si="101"/>
        <v>44.22970734400884</v>
      </c>
      <c r="U289" s="389">
        <v>1005</v>
      </c>
      <c r="V289" s="389"/>
    </row>
    <row r="290" spans="1:22" s="131" customFormat="1" ht="12.75">
      <c r="A290" s="71">
        <v>622</v>
      </c>
      <c r="B290" s="24" t="s">
        <v>342</v>
      </c>
      <c r="C290" s="24"/>
      <c r="D290" s="24"/>
      <c r="E290" s="24"/>
      <c r="F290" s="24"/>
      <c r="G290" s="56"/>
      <c r="H290" s="91"/>
      <c r="I290" s="92"/>
      <c r="J290" s="206"/>
      <c r="K290" s="92"/>
      <c r="L290" s="92">
        <v>801</v>
      </c>
      <c r="M290" s="389">
        <v>52</v>
      </c>
      <c r="N290" s="425">
        <f t="shared" si="98"/>
        <v>6.491885143570538</v>
      </c>
      <c r="O290" s="543">
        <v>79</v>
      </c>
      <c r="P290" s="425">
        <f t="shared" si="99"/>
        <v>9.86267166042447</v>
      </c>
      <c r="Q290" s="389">
        <v>133</v>
      </c>
      <c r="R290" s="425">
        <f t="shared" si="100"/>
        <v>16.604244694132333</v>
      </c>
      <c r="S290" s="389">
        <v>133</v>
      </c>
      <c r="T290" s="425">
        <f t="shared" si="101"/>
        <v>16.604244694132333</v>
      </c>
      <c r="U290" s="389">
        <v>162</v>
      </c>
      <c r="V290" s="389"/>
    </row>
    <row r="291" spans="1:22" s="131" customFormat="1" ht="12.75">
      <c r="A291" s="71">
        <v>623</v>
      </c>
      <c r="B291" s="24" t="s">
        <v>343</v>
      </c>
      <c r="C291" s="24"/>
      <c r="D291" s="24"/>
      <c r="E291" s="24"/>
      <c r="F291" s="24"/>
      <c r="G291" s="56"/>
      <c r="H291" s="91"/>
      <c r="I291" s="92"/>
      <c r="J291" s="206"/>
      <c r="K291" s="92"/>
      <c r="L291" s="92">
        <v>802</v>
      </c>
      <c r="M291" s="389">
        <v>86</v>
      </c>
      <c r="N291" s="425">
        <f t="shared" si="98"/>
        <v>10.723192019950124</v>
      </c>
      <c r="O291" s="543">
        <v>132</v>
      </c>
      <c r="P291" s="425">
        <f t="shared" si="99"/>
        <v>16.458852867830423</v>
      </c>
      <c r="Q291" s="389">
        <v>224</v>
      </c>
      <c r="R291" s="425">
        <f t="shared" si="100"/>
        <v>27.93017456359102</v>
      </c>
      <c r="S291" s="389">
        <v>224</v>
      </c>
      <c r="T291" s="425">
        <f t="shared" si="101"/>
        <v>27.93017456359102</v>
      </c>
      <c r="U291" s="389">
        <v>279</v>
      </c>
      <c r="V291" s="389"/>
    </row>
    <row r="292" spans="1:22" s="131" customFormat="1" ht="12.75">
      <c r="A292" s="71">
        <v>625</v>
      </c>
      <c r="B292" s="24" t="s">
        <v>344</v>
      </c>
      <c r="C292" s="24"/>
      <c r="D292" s="24"/>
      <c r="E292" s="24"/>
      <c r="F292" s="24"/>
      <c r="G292" s="56"/>
      <c r="H292" s="91"/>
      <c r="I292" s="92"/>
      <c r="J292" s="206"/>
      <c r="K292" s="92"/>
      <c r="L292" s="92">
        <f>SUM(L293+L294+L295+L296+L297+L298)</f>
        <v>8026</v>
      </c>
      <c r="M292" s="206">
        <f>SUM(M293+M294+M295+M296+M297+M298)</f>
        <v>1100</v>
      </c>
      <c r="N292" s="425">
        <f t="shared" si="98"/>
        <v>13.70545726389235</v>
      </c>
      <c r="O292" s="543">
        <f>SUM(O293+O294+O295+O296+O297+O298)</f>
        <v>1672</v>
      </c>
      <c r="P292" s="425">
        <f t="shared" si="99"/>
        <v>20.83229504111637</v>
      </c>
      <c r="Q292" s="206">
        <f>SUM(Q293+Q294+Q295+Q296+Q297+Q298)</f>
        <v>2859</v>
      </c>
      <c r="R292" s="425">
        <f t="shared" si="100"/>
        <v>35.62172937951657</v>
      </c>
      <c r="S292" s="206">
        <f>SUM(S293+S294+S295+S296+S297+S298)</f>
        <v>2859</v>
      </c>
      <c r="T292" s="425">
        <f t="shared" si="101"/>
        <v>35.62172937951657</v>
      </c>
      <c r="U292" s="206">
        <f>SUM(U293+U294+U295+U296+U297+U298)</f>
        <v>3575</v>
      </c>
      <c r="V292" s="389"/>
    </row>
    <row r="293" spans="1:22" s="627" customFormat="1" ht="12">
      <c r="A293" s="204">
        <v>625001</v>
      </c>
      <c r="B293" s="203" t="s">
        <v>345</v>
      </c>
      <c r="C293" s="203"/>
      <c r="D293" s="203"/>
      <c r="E293" s="203"/>
      <c r="F293" s="203"/>
      <c r="G293" s="94"/>
      <c r="H293" s="201"/>
      <c r="I293" s="94"/>
      <c r="J293" s="202"/>
      <c r="K293" s="94"/>
      <c r="L293" s="94">
        <v>451</v>
      </c>
      <c r="M293" s="562">
        <v>58</v>
      </c>
      <c r="N293" s="563">
        <f t="shared" si="98"/>
        <v>12.86031042128603</v>
      </c>
      <c r="O293" s="573">
        <v>87</v>
      </c>
      <c r="P293" s="563">
        <f t="shared" si="99"/>
        <v>19.290465631929045</v>
      </c>
      <c r="Q293" s="562">
        <v>150</v>
      </c>
      <c r="R293" s="563">
        <f t="shared" si="100"/>
        <v>33.25942350332594</v>
      </c>
      <c r="S293" s="562">
        <v>150</v>
      </c>
      <c r="T293" s="563">
        <f t="shared" si="101"/>
        <v>33.25942350332594</v>
      </c>
      <c r="U293" s="562">
        <v>185</v>
      </c>
      <c r="V293" s="562"/>
    </row>
    <row r="294" spans="1:22" s="627" customFormat="1" ht="12">
      <c r="A294" s="204">
        <v>625002</v>
      </c>
      <c r="B294" s="203" t="s">
        <v>346</v>
      </c>
      <c r="C294" s="203"/>
      <c r="D294" s="203"/>
      <c r="E294" s="203"/>
      <c r="F294" s="203"/>
      <c r="G294" s="94"/>
      <c r="H294" s="201"/>
      <c r="I294" s="94"/>
      <c r="J294" s="202"/>
      <c r="K294" s="94"/>
      <c r="L294" s="94">
        <v>4504</v>
      </c>
      <c r="M294" s="562">
        <v>620</v>
      </c>
      <c r="N294" s="563">
        <f t="shared" si="98"/>
        <v>13.765541740674955</v>
      </c>
      <c r="O294" s="573">
        <v>941</v>
      </c>
      <c r="P294" s="563">
        <f t="shared" si="99"/>
        <v>20.892539964476022</v>
      </c>
      <c r="Q294" s="562">
        <v>1609</v>
      </c>
      <c r="R294" s="563">
        <f t="shared" si="100"/>
        <v>35.723801065719364</v>
      </c>
      <c r="S294" s="562">
        <v>1609</v>
      </c>
      <c r="T294" s="563">
        <f t="shared" si="101"/>
        <v>35.723801065719364</v>
      </c>
      <c r="U294" s="562">
        <v>2012</v>
      </c>
      <c r="V294" s="562"/>
    </row>
    <row r="295" spans="1:22" s="627" customFormat="1" ht="12">
      <c r="A295" s="204">
        <v>625003</v>
      </c>
      <c r="B295" s="203" t="s">
        <v>347</v>
      </c>
      <c r="C295" s="203"/>
      <c r="D295" s="203"/>
      <c r="E295" s="203"/>
      <c r="F295" s="203"/>
      <c r="G295" s="94"/>
      <c r="H295" s="201"/>
      <c r="I295" s="94"/>
      <c r="J295" s="202"/>
      <c r="K295" s="94"/>
      <c r="L295" s="94">
        <v>257</v>
      </c>
      <c r="M295" s="562">
        <v>37</v>
      </c>
      <c r="N295" s="563">
        <f t="shared" si="98"/>
        <v>14.396887159533073</v>
      </c>
      <c r="O295" s="573">
        <v>57</v>
      </c>
      <c r="P295" s="563">
        <f t="shared" si="99"/>
        <v>22.17898832684825</v>
      </c>
      <c r="Q295" s="562">
        <v>99</v>
      </c>
      <c r="R295" s="563">
        <f t="shared" si="100"/>
        <v>38.52140077821012</v>
      </c>
      <c r="S295" s="562">
        <v>99</v>
      </c>
      <c r="T295" s="563">
        <f t="shared" si="101"/>
        <v>38.52140077821012</v>
      </c>
      <c r="U295" s="562">
        <v>125</v>
      </c>
      <c r="V295" s="562"/>
    </row>
    <row r="296" spans="1:22" s="627" customFormat="1" ht="12">
      <c r="A296" s="204">
        <v>625004</v>
      </c>
      <c r="B296" s="203" t="s">
        <v>348</v>
      </c>
      <c r="C296" s="203"/>
      <c r="D296" s="203"/>
      <c r="E296" s="203"/>
      <c r="F296" s="203"/>
      <c r="G296" s="94"/>
      <c r="H296" s="201"/>
      <c r="I296" s="94"/>
      <c r="J296" s="202"/>
      <c r="K296" s="94"/>
      <c r="L296" s="94">
        <v>965</v>
      </c>
      <c r="M296" s="562">
        <v>131</v>
      </c>
      <c r="N296" s="563">
        <f t="shared" si="98"/>
        <v>13.575129533678757</v>
      </c>
      <c r="O296" s="573">
        <v>200</v>
      </c>
      <c r="P296" s="563">
        <f t="shared" si="99"/>
        <v>20.72538860103627</v>
      </c>
      <c r="Q296" s="562">
        <v>341</v>
      </c>
      <c r="R296" s="563">
        <f t="shared" si="100"/>
        <v>35.336787564766844</v>
      </c>
      <c r="S296" s="562">
        <v>341</v>
      </c>
      <c r="T296" s="563">
        <f t="shared" si="101"/>
        <v>35.336787564766844</v>
      </c>
      <c r="U296" s="562">
        <v>427</v>
      </c>
      <c r="V296" s="562"/>
    </row>
    <row r="297" spans="1:22" s="627" customFormat="1" ht="12">
      <c r="A297" s="204">
        <v>625005</v>
      </c>
      <c r="B297" s="203" t="s">
        <v>349</v>
      </c>
      <c r="C297" s="203"/>
      <c r="D297" s="203"/>
      <c r="E297" s="203"/>
      <c r="F297" s="203"/>
      <c r="G297" s="94"/>
      <c r="H297" s="201"/>
      <c r="I297" s="94"/>
      <c r="J297" s="202"/>
      <c r="K297" s="94"/>
      <c r="L297" s="94">
        <v>321</v>
      </c>
      <c r="M297" s="562">
        <v>44</v>
      </c>
      <c r="N297" s="563">
        <f t="shared" si="98"/>
        <v>13.707165109034266</v>
      </c>
      <c r="O297" s="573">
        <v>67</v>
      </c>
      <c r="P297" s="563">
        <f t="shared" si="99"/>
        <v>20.87227414330218</v>
      </c>
      <c r="Q297" s="562">
        <v>114</v>
      </c>
      <c r="R297" s="563">
        <f t="shared" si="100"/>
        <v>35.51401869158878</v>
      </c>
      <c r="S297" s="562">
        <v>114</v>
      </c>
      <c r="T297" s="563">
        <f t="shared" si="101"/>
        <v>35.51401869158878</v>
      </c>
      <c r="U297" s="562">
        <v>143</v>
      </c>
      <c r="V297" s="562"/>
    </row>
    <row r="298" spans="1:22" s="627" customFormat="1" ht="12">
      <c r="A298" s="204">
        <v>625007</v>
      </c>
      <c r="B298" s="203" t="s">
        <v>350</v>
      </c>
      <c r="C298" s="203"/>
      <c r="D298" s="203"/>
      <c r="E298" s="203"/>
      <c r="F298" s="203"/>
      <c r="G298" s="94"/>
      <c r="H298" s="201"/>
      <c r="I298" s="94"/>
      <c r="J298" s="202"/>
      <c r="K298" s="94"/>
      <c r="L298" s="94">
        <v>1528</v>
      </c>
      <c r="M298" s="562">
        <v>210</v>
      </c>
      <c r="N298" s="563">
        <f t="shared" si="98"/>
        <v>13.743455497382199</v>
      </c>
      <c r="O298" s="573">
        <v>320</v>
      </c>
      <c r="P298" s="563">
        <f t="shared" si="99"/>
        <v>20.94240837696335</v>
      </c>
      <c r="Q298" s="562">
        <v>546</v>
      </c>
      <c r="R298" s="563">
        <f t="shared" si="100"/>
        <v>35.73298429319372</v>
      </c>
      <c r="S298" s="562">
        <v>546</v>
      </c>
      <c r="T298" s="563">
        <f t="shared" si="101"/>
        <v>35.73298429319372</v>
      </c>
      <c r="U298" s="562">
        <v>683</v>
      </c>
      <c r="V298" s="562"/>
    </row>
    <row r="299" spans="1:22" s="131" customFormat="1" ht="12.75">
      <c r="A299" s="71">
        <v>627</v>
      </c>
      <c r="B299" s="24" t="s">
        <v>646</v>
      </c>
      <c r="C299" s="24"/>
      <c r="D299" s="24"/>
      <c r="E299" s="24"/>
      <c r="F299" s="24"/>
      <c r="G299" s="56"/>
      <c r="H299" s="91"/>
      <c r="I299" s="92"/>
      <c r="J299" s="206"/>
      <c r="K299" s="92"/>
      <c r="L299" s="92">
        <v>300</v>
      </c>
      <c r="M299" s="389">
        <v>36</v>
      </c>
      <c r="N299" s="425">
        <f t="shared" si="98"/>
        <v>12</v>
      </c>
      <c r="O299" s="543">
        <v>54</v>
      </c>
      <c r="P299" s="425">
        <f t="shared" si="99"/>
        <v>18</v>
      </c>
      <c r="Q299" s="389">
        <v>92</v>
      </c>
      <c r="R299" s="425">
        <f t="shared" si="100"/>
        <v>30.666666666666664</v>
      </c>
      <c r="S299" s="389">
        <v>92</v>
      </c>
      <c r="T299" s="425">
        <f t="shared" si="101"/>
        <v>30.666666666666664</v>
      </c>
      <c r="U299" s="389">
        <v>111</v>
      </c>
      <c r="V299" s="389"/>
    </row>
    <row r="300" spans="1:22" s="131" customFormat="1" ht="12.75">
      <c r="A300" s="71"/>
      <c r="B300" s="24"/>
      <c r="C300" s="24"/>
      <c r="D300" s="24"/>
      <c r="E300" s="24"/>
      <c r="F300" s="24"/>
      <c r="G300" s="56"/>
      <c r="H300" s="91"/>
      <c r="I300" s="92"/>
      <c r="J300" s="206"/>
      <c r="K300" s="92"/>
      <c r="L300" s="92"/>
      <c r="M300" s="389"/>
      <c r="N300" s="430"/>
      <c r="O300" s="543"/>
      <c r="P300" s="549"/>
      <c r="Q300" s="389"/>
      <c r="R300" s="549"/>
      <c r="S300" s="389"/>
      <c r="T300" s="549"/>
      <c r="U300" s="389"/>
      <c r="V300" s="389"/>
    </row>
    <row r="301" spans="1:21" ht="12.75">
      <c r="A301" s="66">
        <v>631</v>
      </c>
      <c r="B301" s="49" t="s">
        <v>231</v>
      </c>
      <c r="C301" s="49"/>
      <c r="D301" s="12"/>
      <c r="E301" s="12"/>
      <c r="F301" s="12"/>
      <c r="G301" s="198">
        <f aca="true" t="shared" si="102" ref="G301:U301">SUM(G302:G303)</f>
        <v>310</v>
      </c>
      <c r="H301" s="49">
        <f t="shared" si="102"/>
        <v>300</v>
      </c>
      <c r="I301" s="66">
        <f t="shared" si="102"/>
        <v>300</v>
      </c>
      <c r="J301" s="199">
        <f t="shared" si="102"/>
        <v>113</v>
      </c>
      <c r="K301" s="66">
        <f t="shared" si="102"/>
        <v>400</v>
      </c>
      <c r="L301" s="50">
        <f t="shared" si="102"/>
        <v>405</v>
      </c>
      <c r="M301" s="197">
        <f t="shared" si="102"/>
        <v>74</v>
      </c>
      <c r="N301" s="433">
        <f>SUM(M301/L301)*100</f>
        <v>18.271604938271604</v>
      </c>
      <c r="O301" s="542">
        <f t="shared" si="102"/>
        <v>104</v>
      </c>
      <c r="P301" s="433">
        <f>SUM(O301/L301)*100</f>
        <v>25.679012345679013</v>
      </c>
      <c r="Q301" s="197">
        <f t="shared" si="102"/>
        <v>146</v>
      </c>
      <c r="R301" s="433">
        <f>SUM(Q301/L301)*100</f>
        <v>36.04938271604938</v>
      </c>
      <c r="S301" s="197">
        <f t="shared" si="102"/>
        <v>209</v>
      </c>
      <c r="T301" s="433">
        <f>SUM(S301/L301)*100</f>
        <v>51.60493827160494</v>
      </c>
      <c r="U301" s="197">
        <f t="shared" si="102"/>
        <v>211</v>
      </c>
    </row>
    <row r="302" spans="1:21" ht="12.75">
      <c r="A302" s="71">
        <v>631001</v>
      </c>
      <c r="B302" s="24" t="s">
        <v>232</v>
      </c>
      <c r="C302" s="49"/>
      <c r="D302" s="12"/>
      <c r="E302" s="12"/>
      <c r="F302" s="12"/>
      <c r="G302" s="14">
        <v>107</v>
      </c>
      <c r="H302" s="52">
        <v>200</v>
      </c>
      <c r="I302" s="14">
        <v>200</v>
      </c>
      <c r="J302" s="11">
        <v>22</v>
      </c>
      <c r="K302" s="14">
        <v>200</v>
      </c>
      <c r="L302" s="26">
        <v>205</v>
      </c>
      <c r="M302" s="31">
        <v>10</v>
      </c>
      <c r="N302" s="425">
        <f>SUM(M302/L302)*100</f>
        <v>4.878048780487805</v>
      </c>
      <c r="O302" s="416">
        <v>13</v>
      </c>
      <c r="P302" s="425">
        <f>SUM(O302/L302)*100</f>
        <v>6.341463414634147</v>
      </c>
      <c r="Q302" s="31">
        <v>30</v>
      </c>
      <c r="R302" s="425">
        <f>SUM(Q302/L302)*100</f>
        <v>14.634146341463413</v>
      </c>
      <c r="S302" s="31">
        <v>30</v>
      </c>
      <c r="T302" s="425">
        <f>SUM(S302/L302)*100</f>
        <v>14.634146341463413</v>
      </c>
      <c r="U302" s="31">
        <v>32</v>
      </c>
    </row>
    <row r="303" spans="1:21" ht="12.75">
      <c r="A303" s="71">
        <v>631002</v>
      </c>
      <c r="B303" s="24" t="s">
        <v>233</v>
      </c>
      <c r="C303" s="49"/>
      <c r="D303" s="12"/>
      <c r="E303" s="12"/>
      <c r="F303" s="12"/>
      <c r="G303" s="14">
        <v>203</v>
      </c>
      <c r="H303" s="52">
        <v>100</v>
      </c>
      <c r="I303" s="14">
        <v>100</v>
      </c>
      <c r="J303" s="11">
        <v>91</v>
      </c>
      <c r="K303" s="14">
        <v>200</v>
      </c>
      <c r="L303" s="26">
        <v>200</v>
      </c>
      <c r="M303" s="31">
        <v>64</v>
      </c>
      <c r="N303" s="425">
        <f>SUM(M303/L303)*100</f>
        <v>32</v>
      </c>
      <c r="O303" s="416">
        <v>91</v>
      </c>
      <c r="P303" s="425">
        <f>SUM(O303/L303)*100</f>
        <v>45.5</v>
      </c>
      <c r="Q303" s="31">
        <v>116</v>
      </c>
      <c r="R303" s="425">
        <f>SUM(Q303/L303)*100</f>
        <v>57.99999999999999</v>
      </c>
      <c r="S303" s="31">
        <v>179</v>
      </c>
      <c r="T303" s="425">
        <f>SUM(S303/L303)*100</f>
        <v>89.5</v>
      </c>
      <c r="U303" s="31">
        <v>179</v>
      </c>
    </row>
    <row r="304" spans="1:20" ht="12.75">
      <c r="A304" s="14"/>
      <c r="B304" s="12"/>
      <c r="C304" s="12"/>
      <c r="D304" s="12"/>
      <c r="E304" s="12"/>
      <c r="F304" s="12"/>
      <c r="G304" s="14"/>
      <c r="H304" s="52"/>
      <c r="I304" s="14"/>
      <c r="J304" s="11"/>
      <c r="K304" s="14"/>
      <c r="L304" s="26"/>
      <c r="N304" s="425"/>
      <c r="O304" s="416"/>
      <c r="P304" s="547"/>
      <c r="R304" s="547"/>
      <c r="T304" s="547"/>
    </row>
    <row r="305" spans="1:21" ht="12.75">
      <c r="A305" s="66">
        <v>632</v>
      </c>
      <c r="B305" s="49" t="s">
        <v>234</v>
      </c>
      <c r="C305" s="49"/>
      <c r="D305" s="12"/>
      <c r="E305" s="12"/>
      <c r="F305" s="12"/>
      <c r="G305" s="193">
        <f aca="true" t="shared" si="103" ref="G305:U305">SUM(G306:G315)-G306-G311</f>
        <v>3421</v>
      </c>
      <c r="H305" s="194">
        <f t="shared" si="103"/>
        <v>3415</v>
      </c>
      <c r="I305" s="193">
        <f t="shared" si="103"/>
        <v>3415</v>
      </c>
      <c r="J305" s="195">
        <f t="shared" si="103"/>
        <v>2059</v>
      </c>
      <c r="K305" s="193">
        <f t="shared" si="103"/>
        <v>3790</v>
      </c>
      <c r="L305" s="50">
        <f t="shared" si="103"/>
        <v>4280</v>
      </c>
      <c r="M305" s="197">
        <f t="shared" si="103"/>
        <v>827</v>
      </c>
      <c r="N305" s="433">
        <f aca="true" t="shared" si="104" ref="N305:N315">SUM(M305/L305)*100</f>
        <v>19.32242990654206</v>
      </c>
      <c r="O305" s="542">
        <f t="shared" si="103"/>
        <v>1185</v>
      </c>
      <c r="P305" s="433">
        <f aca="true" t="shared" si="105" ref="P305:P315">SUM(O305/L305)*100</f>
        <v>27.686915887850468</v>
      </c>
      <c r="Q305" s="197">
        <f t="shared" si="103"/>
        <v>1544</v>
      </c>
      <c r="R305" s="433">
        <f aca="true" t="shared" si="106" ref="R305:R315">SUM(Q305/L305)*100</f>
        <v>36.074766355140184</v>
      </c>
      <c r="S305" s="197">
        <f t="shared" si="103"/>
        <v>2260</v>
      </c>
      <c r="T305" s="433">
        <f aca="true" t="shared" si="107" ref="T305:T315">SUM(S305/L305)*100</f>
        <v>52.80373831775701</v>
      </c>
      <c r="U305" s="197">
        <f t="shared" si="103"/>
        <v>2381</v>
      </c>
    </row>
    <row r="306" spans="1:22" s="131" customFormat="1" ht="12.75">
      <c r="A306" s="71">
        <v>632001</v>
      </c>
      <c r="B306" s="24" t="s">
        <v>235</v>
      </c>
      <c r="C306" s="24"/>
      <c r="D306" s="24"/>
      <c r="E306" s="24"/>
      <c r="F306" s="24"/>
      <c r="G306" s="92">
        <f aca="true" t="shared" si="108" ref="G306:U306">SUM(G307:G309)</f>
        <v>1386</v>
      </c>
      <c r="H306" s="91">
        <f t="shared" si="108"/>
        <v>1600</v>
      </c>
      <c r="I306" s="92">
        <f t="shared" si="108"/>
        <v>1600</v>
      </c>
      <c r="J306" s="206">
        <f t="shared" si="108"/>
        <v>896</v>
      </c>
      <c r="K306" s="92">
        <f t="shared" si="108"/>
        <v>1600</v>
      </c>
      <c r="L306" s="92">
        <f t="shared" si="108"/>
        <v>1840</v>
      </c>
      <c r="M306" s="206">
        <f t="shared" si="108"/>
        <v>330</v>
      </c>
      <c r="N306" s="430">
        <f t="shared" si="104"/>
        <v>17.934782608695652</v>
      </c>
      <c r="O306" s="543">
        <f t="shared" si="108"/>
        <v>406</v>
      </c>
      <c r="P306" s="430">
        <f t="shared" si="105"/>
        <v>22.065217391304348</v>
      </c>
      <c r="Q306" s="206">
        <f t="shared" si="108"/>
        <v>469</v>
      </c>
      <c r="R306" s="425">
        <f t="shared" si="106"/>
        <v>25.48913043478261</v>
      </c>
      <c r="S306" s="206">
        <f t="shared" si="108"/>
        <v>1209</v>
      </c>
      <c r="T306" s="425">
        <f t="shared" si="107"/>
        <v>65.70652173913044</v>
      </c>
      <c r="U306" s="206">
        <f t="shared" si="108"/>
        <v>1209</v>
      </c>
      <c r="V306" s="389"/>
    </row>
    <row r="307" spans="1:22" s="88" customFormat="1" ht="12.75">
      <c r="A307" s="53"/>
      <c r="B307" s="55" t="s">
        <v>236</v>
      </c>
      <c r="C307" s="55"/>
      <c r="D307" s="55"/>
      <c r="E307" s="55"/>
      <c r="F307" s="55"/>
      <c r="G307" s="94">
        <v>823</v>
      </c>
      <c r="H307" s="201">
        <v>1000</v>
      </c>
      <c r="I307" s="94">
        <v>1000</v>
      </c>
      <c r="J307" s="202">
        <v>469</v>
      </c>
      <c r="K307" s="94">
        <v>1000</v>
      </c>
      <c r="L307" s="94">
        <f>1000*1.06</f>
        <v>1060</v>
      </c>
      <c r="M307" s="562">
        <v>4</v>
      </c>
      <c r="N307" s="563">
        <f t="shared" si="104"/>
        <v>0.37735849056603776</v>
      </c>
      <c r="O307" s="544">
        <v>4</v>
      </c>
      <c r="P307" s="563">
        <f t="shared" si="105"/>
        <v>0.37735849056603776</v>
      </c>
      <c r="Q307" s="562">
        <v>6</v>
      </c>
      <c r="R307" s="563">
        <f t="shared" si="106"/>
        <v>0.5660377358490566</v>
      </c>
      <c r="S307" s="562">
        <v>672</v>
      </c>
      <c r="T307" s="563">
        <f t="shared" si="107"/>
        <v>63.39622641509434</v>
      </c>
      <c r="U307" s="562">
        <v>672</v>
      </c>
      <c r="V307" s="562"/>
    </row>
    <row r="308" spans="1:22" s="88" customFormat="1" ht="12.75">
      <c r="A308" s="53"/>
      <c r="B308" s="55" t="s">
        <v>237</v>
      </c>
      <c r="C308" s="55"/>
      <c r="D308" s="55"/>
      <c r="E308" s="55"/>
      <c r="F308" s="55"/>
      <c r="G308" s="94">
        <v>204</v>
      </c>
      <c r="H308" s="201">
        <v>200</v>
      </c>
      <c r="I308" s="94">
        <v>200</v>
      </c>
      <c r="J308" s="202">
        <v>145</v>
      </c>
      <c r="K308" s="204">
        <v>200</v>
      </c>
      <c r="L308" s="94">
        <f>200*1.3</f>
        <v>260</v>
      </c>
      <c r="M308" s="562">
        <v>121</v>
      </c>
      <c r="N308" s="563">
        <f t="shared" si="104"/>
        <v>46.53846153846154</v>
      </c>
      <c r="O308" s="573">
        <v>141</v>
      </c>
      <c r="P308" s="563">
        <f t="shared" si="105"/>
        <v>54.230769230769226</v>
      </c>
      <c r="Q308" s="562">
        <v>152</v>
      </c>
      <c r="R308" s="563">
        <f t="shared" si="106"/>
        <v>58.46153846153847</v>
      </c>
      <c r="S308" s="562">
        <v>152</v>
      </c>
      <c r="T308" s="563">
        <f t="shared" si="107"/>
        <v>58.46153846153847</v>
      </c>
      <c r="U308" s="562">
        <v>152</v>
      </c>
      <c r="V308" s="562"/>
    </row>
    <row r="309" spans="1:22" s="88" customFormat="1" ht="12.75">
      <c r="A309" s="53"/>
      <c r="B309" s="55" t="s">
        <v>238</v>
      </c>
      <c r="C309" s="55"/>
      <c r="D309" s="55"/>
      <c r="E309" s="55"/>
      <c r="F309" s="55"/>
      <c r="G309" s="94">
        <v>359</v>
      </c>
      <c r="H309" s="201">
        <v>400</v>
      </c>
      <c r="I309" s="94">
        <v>400</v>
      </c>
      <c r="J309" s="202">
        <v>282</v>
      </c>
      <c r="K309" s="204">
        <v>400</v>
      </c>
      <c r="L309" s="94">
        <f>400*1.3</f>
        <v>520</v>
      </c>
      <c r="M309" s="562">
        <v>205</v>
      </c>
      <c r="N309" s="563">
        <f t="shared" si="104"/>
        <v>39.42307692307692</v>
      </c>
      <c r="O309" s="573">
        <v>261</v>
      </c>
      <c r="P309" s="563">
        <f t="shared" si="105"/>
        <v>50.19230769230769</v>
      </c>
      <c r="Q309" s="562">
        <v>311</v>
      </c>
      <c r="R309" s="563">
        <f t="shared" si="106"/>
        <v>59.80769230769231</v>
      </c>
      <c r="S309" s="562">
        <v>385</v>
      </c>
      <c r="T309" s="563">
        <f t="shared" si="107"/>
        <v>74.03846153846155</v>
      </c>
      <c r="U309" s="562">
        <v>385</v>
      </c>
      <c r="V309" s="562"/>
    </row>
    <row r="310" spans="1:21" ht="12.75">
      <c r="A310" s="71">
        <v>632002</v>
      </c>
      <c r="B310" s="24" t="s">
        <v>239</v>
      </c>
      <c r="C310" s="55"/>
      <c r="D310" s="12"/>
      <c r="E310" s="12"/>
      <c r="F310" s="12"/>
      <c r="G310" s="26">
        <v>103</v>
      </c>
      <c r="H310" s="57">
        <v>80</v>
      </c>
      <c r="I310" s="56">
        <v>80</v>
      </c>
      <c r="J310" s="200">
        <v>54</v>
      </c>
      <c r="K310" s="71">
        <v>100</v>
      </c>
      <c r="L310" s="92">
        <v>100</v>
      </c>
      <c r="M310" s="31">
        <v>7</v>
      </c>
      <c r="N310" s="425">
        <f t="shared" si="104"/>
        <v>7.000000000000001</v>
      </c>
      <c r="O310" s="416">
        <v>32</v>
      </c>
      <c r="P310" s="425">
        <f t="shared" si="105"/>
        <v>32</v>
      </c>
      <c r="Q310" s="31">
        <v>33</v>
      </c>
      <c r="R310" s="425">
        <f t="shared" si="106"/>
        <v>33</v>
      </c>
      <c r="S310" s="31">
        <v>35</v>
      </c>
      <c r="T310" s="425">
        <f t="shared" si="107"/>
        <v>35</v>
      </c>
      <c r="U310" s="31">
        <v>35</v>
      </c>
    </row>
    <row r="311" spans="1:22" s="131" customFormat="1" ht="12.75">
      <c r="A311" s="71">
        <v>632003</v>
      </c>
      <c r="B311" s="24" t="s">
        <v>240</v>
      </c>
      <c r="C311" s="24"/>
      <c r="D311" s="24"/>
      <c r="E311" s="24"/>
      <c r="F311" s="24"/>
      <c r="G311" s="92">
        <f aca="true" t="shared" si="109" ref="G311:U311">SUM(G312:G315)</f>
        <v>1932</v>
      </c>
      <c r="H311" s="91">
        <f t="shared" si="109"/>
        <v>1735</v>
      </c>
      <c r="I311" s="92">
        <f t="shared" si="109"/>
        <v>1735</v>
      </c>
      <c r="J311" s="206">
        <f t="shared" si="109"/>
        <v>1109</v>
      </c>
      <c r="K311" s="92">
        <f t="shared" si="109"/>
        <v>2090</v>
      </c>
      <c r="L311" s="92">
        <f t="shared" si="109"/>
        <v>2340</v>
      </c>
      <c r="M311" s="206">
        <f t="shared" si="109"/>
        <v>490</v>
      </c>
      <c r="N311" s="430">
        <f t="shared" si="104"/>
        <v>20.94017094017094</v>
      </c>
      <c r="O311" s="543">
        <f t="shared" si="109"/>
        <v>747</v>
      </c>
      <c r="P311" s="430">
        <f t="shared" si="105"/>
        <v>31.92307692307692</v>
      </c>
      <c r="Q311" s="206">
        <f t="shared" si="109"/>
        <v>1042</v>
      </c>
      <c r="R311" s="425">
        <f t="shared" si="106"/>
        <v>44.52991452991453</v>
      </c>
      <c r="S311" s="206">
        <f t="shared" si="109"/>
        <v>1016</v>
      </c>
      <c r="T311" s="425">
        <f t="shared" si="107"/>
        <v>43.41880341880342</v>
      </c>
      <c r="U311" s="206">
        <f t="shared" si="109"/>
        <v>1137</v>
      </c>
      <c r="V311" s="389"/>
    </row>
    <row r="312" spans="1:22" s="88" customFormat="1" ht="12.75">
      <c r="A312" s="53"/>
      <c r="B312" s="55" t="s">
        <v>241</v>
      </c>
      <c r="C312" s="55"/>
      <c r="D312" s="55"/>
      <c r="E312" s="55"/>
      <c r="F312" s="55"/>
      <c r="G312" s="56">
        <v>1212</v>
      </c>
      <c r="H312" s="203">
        <v>900</v>
      </c>
      <c r="I312" s="204">
        <v>900</v>
      </c>
      <c r="J312" s="205">
        <v>460</v>
      </c>
      <c r="K312" s="94">
        <v>1000</v>
      </c>
      <c r="L312" s="94">
        <v>1050</v>
      </c>
      <c r="M312" s="562">
        <v>207</v>
      </c>
      <c r="N312" s="563">
        <f t="shared" si="104"/>
        <v>19.714285714285715</v>
      </c>
      <c r="O312" s="573">
        <v>279</v>
      </c>
      <c r="P312" s="563">
        <f t="shared" si="105"/>
        <v>26.571428571428573</v>
      </c>
      <c r="Q312" s="562">
        <v>389</v>
      </c>
      <c r="R312" s="563">
        <f t="shared" si="106"/>
        <v>37.047619047619044</v>
      </c>
      <c r="S312" s="562">
        <v>452</v>
      </c>
      <c r="T312" s="563">
        <f t="shared" si="107"/>
        <v>43.047619047619044</v>
      </c>
      <c r="U312" s="562">
        <v>534</v>
      </c>
      <c r="V312" s="562"/>
    </row>
    <row r="313" spans="1:22" s="88" customFormat="1" ht="12.75">
      <c r="A313" s="53"/>
      <c r="B313" s="55" t="s">
        <v>242</v>
      </c>
      <c r="C313" s="55"/>
      <c r="D313" s="55"/>
      <c r="E313" s="55"/>
      <c r="F313" s="55"/>
      <c r="G313" s="56">
        <v>23</v>
      </c>
      <c r="H313" s="203">
        <v>20</v>
      </c>
      <c r="I313" s="204">
        <v>20</v>
      </c>
      <c r="J313" s="205">
        <v>16</v>
      </c>
      <c r="K313" s="204">
        <v>25</v>
      </c>
      <c r="L313" s="94">
        <v>25</v>
      </c>
      <c r="M313" s="562">
        <v>4</v>
      </c>
      <c r="N313" s="563">
        <f t="shared" si="104"/>
        <v>16</v>
      </c>
      <c r="O313" s="573">
        <v>10</v>
      </c>
      <c r="P313" s="563">
        <f t="shared" si="105"/>
        <v>40</v>
      </c>
      <c r="Q313" s="562">
        <v>14</v>
      </c>
      <c r="R313" s="563">
        <f t="shared" si="106"/>
        <v>56.00000000000001</v>
      </c>
      <c r="S313" s="562">
        <v>14</v>
      </c>
      <c r="T313" s="563">
        <f t="shared" si="107"/>
        <v>56.00000000000001</v>
      </c>
      <c r="U313" s="562">
        <v>14</v>
      </c>
      <c r="V313" s="562"/>
    </row>
    <row r="314" spans="1:22" s="88" customFormat="1" ht="12.75">
      <c r="A314" s="53"/>
      <c r="B314" s="55" t="s">
        <v>243</v>
      </c>
      <c r="C314" s="55"/>
      <c r="D314" s="55"/>
      <c r="E314" s="55"/>
      <c r="F314" s="55"/>
      <c r="G314" s="56">
        <v>499</v>
      </c>
      <c r="H314" s="203">
        <v>550</v>
      </c>
      <c r="I314" s="204">
        <v>550</v>
      </c>
      <c r="J314" s="205">
        <v>518</v>
      </c>
      <c r="K314" s="204">
        <v>800</v>
      </c>
      <c r="L314" s="94">
        <v>1000</v>
      </c>
      <c r="M314" s="562">
        <v>209</v>
      </c>
      <c r="N314" s="563">
        <f t="shared" si="104"/>
        <v>20.9</v>
      </c>
      <c r="O314" s="573">
        <v>372</v>
      </c>
      <c r="P314" s="563">
        <f t="shared" si="105"/>
        <v>37.2</v>
      </c>
      <c r="Q314" s="562">
        <v>506</v>
      </c>
      <c r="R314" s="563">
        <f t="shared" si="106"/>
        <v>50.6</v>
      </c>
      <c r="S314" s="562">
        <v>401</v>
      </c>
      <c r="T314" s="563">
        <f t="shared" si="107"/>
        <v>40.1</v>
      </c>
      <c r="U314" s="562">
        <v>419</v>
      </c>
      <c r="V314" s="562"/>
    </row>
    <row r="315" spans="1:22" s="88" customFormat="1" ht="12.75">
      <c r="A315" s="53"/>
      <c r="B315" s="55" t="s">
        <v>244</v>
      </c>
      <c r="C315" s="55"/>
      <c r="D315" s="55"/>
      <c r="E315" s="55"/>
      <c r="F315" s="55"/>
      <c r="G315" s="56">
        <v>198</v>
      </c>
      <c r="H315" s="201">
        <v>265</v>
      </c>
      <c r="I315" s="94">
        <v>265</v>
      </c>
      <c r="J315" s="202">
        <v>115</v>
      </c>
      <c r="K315" s="204">
        <v>265</v>
      </c>
      <c r="L315" s="94">
        <v>265</v>
      </c>
      <c r="M315" s="562">
        <v>70</v>
      </c>
      <c r="N315" s="563">
        <f t="shared" si="104"/>
        <v>26.41509433962264</v>
      </c>
      <c r="O315" s="573">
        <v>86</v>
      </c>
      <c r="P315" s="563">
        <f t="shared" si="105"/>
        <v>32.45283018867924</v>
      </c>
      <c r="Q315" s="562">
        <v>133</v>
      </c>
      <c r="R315" s="563">
        <f t="shared" si="106"/>
        <v>50.18867924528302</v>
      </c>
      <c r="S315" s="562">
        <v>149</v>
      </c>
      <c r="T315" s="563">
        <f t="shared" si="107"/>
        <v>56.22641509433962</v>
      </c>
      <c r="U315" s="562">
        <v>170</v>
      </c>
      <c r="V315" s="562"/>
    </row>
    <row r="316" spans="1:20" ht="12.75">
      <c r="A316" s="14"/>
      <c r="B316" s="12"/>
      <c r="C316" s="12"/>
      <c r="D316" s="12"/>
      <c r="E316" s="12"/>
      <c r="F316" s="12"/>
      <c r="G316" s="26"/>
      <c r="H316" s="52"/>
      <c r="I316" s="14"/>
      <c r="J316" s="11"/>
      <c r="K316" s="14"/>
      <c r="L316" s="26"/>
      <c r="N316" s="425"/>
      <c r="O316" s="416"/>
      <c r="P316" s="547"/>
      <c r="R316" s="547"/>
      <c r="T316" s="547"/>
    </row>
    <row r="317" spans="1:21" ht="12.75">
      <c r="A317" s="66">
        <v>633</v>
      </c>
      <c r="B317" s="49" t="s">
        <v>245</v>
      </c>
      <c r="C317" s="49"/>
      <c r="D317" s="12"/>
      <c r="E317" s="12"/>
      <c r="F317" s="12"/>
      <c r="G317" s="193">
        <f>SUM(G318:G351)-G324</f>
        <v>6958</v>
      </c>
      <c r="H317" s="194">
        <f>SUM(H318:H351)-H324</f>
        <v>43262</v>
      </c>
      <c r="I317" s="193">
        <f>SUM(I318:I351)-I324</f>
        <v>43717</v>
      </c>
      <c r="J317" s="195">
        <f>SUM(J318:J351)-J324</f>
        <v>2357</v>
      </c>
      <c r="K317" s="193">
        <f>SUM(K318:K351)-K324</f>
        <v>5845</v>
      </c>
      <c r="L317" s="50">
        <f>SUM(L318+L319+L320+L321+L324+L336+L337+L347+L348+L351)</f>
        <v>6162</v>
      </c>
      <c r="M317" s="197">
        <f>SUM(M318:M351)-M324</f>
        <v>1106</v>
      </c>
      <c r="N317" s="433">
        <f>SUM(M317/L317)*100</f>
        <v>17.94871794871795</v>
      </c>
      <c r="O317" s="542">
        <f>SUM(O318:O351)-O324</f>
        <v>1581</v>
      </c>
      <c r="P317" s="433">
        <f>SUM(O317/L317)*100</f>
        <v>25.657254138266794</v>
      </c>
      <c r="Q317" s="197">
        <f>SUM(Q318:Q351)-Q324</f>
        <v>2249</v>
      </c>
      <c r="R317" s="433">
        <f>SUM(Q317/L317)*100</f>
        <v>36.49789029535865</v>
      </c>
      <c r="S317" s="542">
        <f>SUM(S318+S319+S320+S321+S324+S336+S337+S347+S348+S351)</f>
        <v>2445</v>
      </c>
      <c r="T317" s="540">
        <f>SUM(S317/L317)*100</f>
        <v>39.67867575462512</v>
      </c>
      <c r="U317" s="542">
        <f>SUM(U318+U319+U320+U321+U324+U336+U337+U347+U348+U351)</f>
        <v>2552</v>
      </c>
    </row>
    <row r="318" spans="1:22" s="131" customFormat="1" ht="12.75">
      <c r="A318" s="71">
        <v>633002</v>
      </c>
      <c r="B318" s="24" t="s">
        <v>246</v>
      </c>
      <c r="C318" s="24"/>
      <c r="D318" s="24"/>
      <c r="E318" s="24"/>
      <c r="F318" s="24"/>
      <c r="G318" s="92">
        <v>828</v>
      </c>
      <c r="H318" s="91">
        <v>656</v>
      </c>
      <c r="I318" s="71">
        <v>656</v>
      </c>
      <c r="J318" s="23">
        <v>292</v>
      </c>
      <c r="K318" s="71">
        <v>750</v>
      </c>
      <c r="L318" s="92">
        <v>780</v>
      </c>
      <c r="M318" s="389">
        <v>193</v>
      </c>
      <c r="N318" s="430">
        <f>SUM(M318/L318)*100</f>
        <v>24.743589743589745</v>
      </c>
      <c r="O318" s="543">
        <v>272</v>
      </c>
      <c r="P318" s="430">
        <f>SUM(O318/L318)*100</f>
        <v>34.87179487179487</v>
      </c>
      <c r="Q318" s="389">
        <v>400</v>
      </c>
      <c r="R318" s="425">
        <f>SUM(Q318/L318)*100</f>
        <v>51.28205128205128</v>
      </c>
      <c r="S318" s="389">
        <v>473</v>
      </c>
      <c r="T318" s="425">
        <f>SUM(S318/L318)*100</f>
        <v>60.641025641025635</v>
      </c>
      <c r="U318" s="389">
        <v>475</v>
      </c>
      <c r="V318" s="389"/>
    </row>
    <row r="319" spans="1:22" s="131" customFormat="1" ht="12.75">
      <c r="A319" s="71">
        <v>633003</v>
      </c>
      <c r="B319" s="24" t="s">
        <v>247</v>
      </c>
      <c r="C319" s="24"/>
      <c r="D319" s="24"/>
      <c r="E319" s="24"/>
      <c r="F319" s="24"/>
      <c r="G319" s="92">
        <v>143</v>
      </c>
      <c r="H319" s="91">
        <v>0</v>
      </c>
      <c r="I319" s="71">
        <v>29</v>
      </c>
      <c r="J319" s="23">
        <v>40</v>
      </c>
      <c r="K319" s="71">
        <v>30</v>
      </c>
      <c r="L319" s="92">
        <v>30</v>
      </c>
      <c r="M319" s="389">
        <v>1</v>
      </c>
      <c r="N319" s="430">
        <f>SUM(M319/L319)*100</f>
        <v>3.3333333333333335</v>
      </c>
      <c r="O319" s="543">
        <v>3</v>
      </c>
      <c r="P319" s="430">
        <f>SUM(O319/L319)*100</f>
        <v>10</v>
      </c>
      <c r="Q319" s="389">
        <v>3</v>
      </c>
      <c r="R319" s="425">
        <f>SUM(Q319/L319)*100</f>
        <v>10</v>
      </c>
      <c r="S319" s="389">
        <v>3</v>
      </c>
      <c r="T319" s="425">
        <f>SUM(S319/L319)*100</f>
        <v>10</v>
      </c>
      <c r="U319" s="389">
        <v>3</v>
      </c>
      <c r="V319" s="389"/>
    </row>
    <row r="320" spans="1:22" s="131" customFormat="1" ht="12.75">
      <c r="A320" s="71">
        <v>633004</v>
      </c>
      <c r="B320" s="24" t="s">
        <v>248</v>
      </c>
      <c r="C320" s="24"/>
      <c r="D320" s="24"/>
      <c r="E320" s="24"/>
      <c r="F320" s="24"/>
      <c r="G320" s="92">
        <v>52</v>
      </c>
      <c r="H320" s="91">
        <v>0</v>
      </c>
      <c r="I320" s="71">
        <v>0</v>
      </c>
      <c r="J320" s="23">
        <v>0</v>
      </c>
      <c r="K320" s="71">
        <v>0</v>
      </c>
      <c r="L320" s="92">
        <v>0</v>
      </c>
      <c r="M320" s="389"/>
      <c r="N320" s="430"/>
      <c r="O320" s="543"/>
      <c r="P320" s="549"/>
      <c r="Q320" s="389"/>
      <c r="R320" s="549"/>
      <c r="S320" s="389"/>
      <c r="T320" s="549"/>
      <c r="U320" s="389">
        <v>24</v>
      </c>
      <c r="V320" s="389"/>
    </row>
    <row r="321" spans="1:22" s="131" customFormat="1" ht="12.75">
      <c r="A321" s="71">
        <v>633001</v>
      </c>
      <c r="B321" s="24" t="s">
        <v>249</v>
      </c>
      <c r="C321" s="24"/>
      <c r="D321" s="24"/>
      <c r="E321" s="24"/>
      <c r="F321" s="24"/>
      <c r="G321" s="92">
        <v>1723</v>
      </c>
      <c r="H321" s="91">
        <v>500</v>
      </c>
      <c r="I321" s="71">
        <v>432</v>
      </c>
      <c r="J321" s="23">
        <v>72</v>
      </c>
      <c r="K321" s="71">
        <v>500</v>
      </c>
      <c r="L321" s="92">
        <f>SUM(L322+L323)</f>
        <v>560</v>
      </c>
      <c r="M321" s="389">
        <v>100</v>
      </c>
      <c r="N321" s="430">
        <f>SUM(M321/L321)*100</f>
        <v>17.857142857142858</v>
      </c>
      <c r="O321" s="543">
        <v>153</v>
      </c>
      <c r="P321" s="430">
        <f>SUM(O321/L321)*100</f>
        <v>27.32142857142857</v>
      </c>
      <c r="Q321" s="389">
        <v>219</v>
      </c>
      <c r="R321" s="425">
        <f>SUM(Q321/L321)*100</f>
        <v>39.107142857142854</v>
      </c>
      <c r="S321" s="206">
        <f>SUM(S322+S323)</f>
        <v>220</v>
      </c>
      <c r="T321" s="425">
        <f>SUM(S321/L321)*100</f>
        <v>39.285714285714285</v>
      </c>
      <c r="U321" s="206">
        <f>SUM(U322+U323)</f>
        <v>227</v>
      </c>
      <c r="V321" s="389"/>
    </row>
    <row r="322" spans="1:22" s="88" customFormat="1" ht="12.75">
      <c r="A322" s="53"/>
      <c r="B322" s="55" t="s">
        <v>958</v>
      </c>
      <c r="C322" s="55"/>
      <c r="D322" s="55"/>
      <c r="E322" s="55"/>
      <c r="F322" s="55"/>
      <c r="G322" s="56"/>
      <c r="H322" s="57"/>
      <c r="I322" s="53"/>
      <c r="J322" s="93"/>
      <c r="K322" s="53"/>
      <c r="L322" s="56">
        <v>60</v>
      </c>
      <c r="M322" s="397"/>
      <c r="N322" s="434"/>
      <c r="O322" s="544"/>
      <c r="P322" s="434"/>
      <c r="Q322" s="397"/>
      <c r="R322" s="434"/>
      <c r="S322" s="397"/>
      <c r="T322" s="554"/>
      <c r="U322" s="397"/>
      <c r="V322" s="397"/>
    </row>
    <row r="323" spans="1:22" s="88" customFormat="1" ht="12.75">
      <c r="A323" s="53"/>
      <c r="B323" s="55" t="s">
        <v>959</v>
      </c>
      <c r="C323" s="55"/>
      <c r="D323" s="55"/>
      <c r="E323" s="55"/>
      <c r="F323" s="55"/>
      <c r="G323" s="56"/>
      <c r="H323" s="57"/>
      <c r="I323" s="53"/>
      <c r="J323" s="93"/>
      <c r="K323" s="53"/>
      <c r="L323" s="56">
        <v>500</v>
      </c>
      <c r="M323" s="397"/>
      <c r="N323" s="434"/>
      <c r="O323" s="544"/>
      <c r="P323" s="434"/>
      <c r="Q323" s="397"/>
      <c r="R323" s="434"/>
      <c r="S323" s="397">
        <v>220</v>
      </c>
      <c r="T323" s="434">
        <f>SUM(S323/L323)*100</f>
        <v>44</v>
      </c>
      <c r="U323" s="397">
        <v>227</v>
      </c>
      <c r="V323" s="397"/>
    </row>
    <row r="324" spans="1:22" s="131" customFormat="1" ht="12.75">
      <c r="A324" s="71">
        <v>633006</v>
      </c>
      <c r="B324" s="24" t="s">
        <v>250</v>
      </c>
      <c r="C324" s="24"/>
      <c r="D324" s="24"/>
      <c r="E324" s="24"/>
      <c r="F324" s="24"/>
      <c r="G324" s="92">
        <f>SUM(G325:G334)</f>
        <v>2389</v>
      </c>
      <c r="H324" s="91">
        <f>SUM(H325:H334)</f>
        <v>2355</v>
      </c>
      <c r="I324" s="92">
        <f>SUM(I325:I334)</f>
        <v>2596</v>
      </c>
      <c r="J324" s="206">
        <f>SUM(J325:J334)</f>
        <v>1251</v>
      </c>
      <c r="K324" s="92">
        <f>SUM(K325:K334)</f>
        <v>2725</v>
      </c>
      <c r="L324" s="206">
        <f>SUM(L325:L335)</f>
        <v>2953</v>
      </c>
      <c r="M324" s="206">
        <f>SUM(M325:M334)</f>
        <v>536</v>
      </c>
      <c r="N324" s="430">
        <f aca="true" t="shared" si="110" ref="N324:N332">SUM(M324/L324)*100</f>
        <v>18.15103284795124</v>
      </c>
      <c r="O324" s="543">
        <f>SUM(O325:O334)</f>
        <v>765</v>
      </c>
      <c r="P324" s="430">
        <f aca="true" t="shared" si="111" ref="P324:P332">SUM(O324/L324)*100</f>
        <v>25.90585844903488</v>
      </c>
      <c r="Q324" s="206">
        <f>SUM(Q325:Q334)</f>
        <v>992</v>
      </c>
      <c r="R324" s="425">
        <f aca="true" t="shared" si="112" ref="R324:R332">SUM(Q324/L324)*100</f>
        <v>33.59295631561125</v>
      </c>
      <c r="S324" s="206">
        <f>SUM(S325:S335)</f>
        <v>1018</v>
      </c>
      <c r="T324" s="425">
        <f aca="true" t="shared" si="113" ref="T324:T332">SUM(S324/L324)*100</f>
        <v>34.473416864205895</v>
      </c>
      <c r="U324" s="206">
        <f>SUM(U325:U335)</f>
        <v>1062</v>
      </c>
      <c r="V324" s="389"/>
    </row>
    <row r="325" spans="1:22" s="88" customFormat="1" ht="12.75">
      <c r="A325" s="204"/>
      <c r="B325" s="331" t="s">
        <v>251</v>
      </c>
      <c r="C325" s="203"/>
      <c r="D325" s="55"/>
      <c r="E325" s="55"/>
      <c r="F325" s="55"/>
      <c r="G325" s="94">
        <v>175</v>
      </c>
      <c r="H325" s="201">
        <v>200</v>
      </c>
      <c r="I325" s="94">
        <v>200</v>
      </c>
      <c r="J325" s="202">
        <v>80</v>
      </c>
      <c r="K325" s="204">
        <v>200</v>
      </c>
      <c r="L325" s="94">
        <v>200</v>
      </c>
      <c r="M325" s="562">
        <v>33</v>
      </c>
      <c r="N325" s="563">
        <f t="shared" si="110"/>
        <v>16.5</v>
      </c>
      <c r="O325" s="573">
        <v>78</v>
      </c>
      <c r="P325" s="563">
        <f t="shared" si="111"/>
        <v>39</v>
      </c>
      <c r="Q325" s="397">
        <v>85</v>
      </c>
      <c r="R325" s="563">
        <f t="shared" si="112"/>
        <v>42.5</v>
      </c>
      <c r="S325" s="397">
        <v>85</v>
      </c>
      <c r="T325" s="563">
        <f t="shared" si="113"/>
        <v>42.5</v>
      </c>
      <c r="U325" s="397">
        <v>96</v>
      </c>
      <c r="V325" s="397"/>
    </row>
    <row r="326" spans="1:22" s="88" customFormat="1" ht="12.75">
      <c r="A326" s="204"/>
      <c r="B326" s="331" t="s">
        <v>253</v>
      </c>
      <c r="C326" s="203"/>
      <c r="D326" s="55"/>
      <c r="E326" s="55"/>
      <c r="F326" s="55"/>
      <c r="G326" s="94">
        <v>239</v>
      </c>
      <c r="H326" s="201">
        <v>250</v>
      </c>
      <c r="I326" s="94">
        <v>250</v>
      </c>
      <c r="J326" s="202">
        <v>168</v>
      </c>
      <c r="K326" s="204">
        <v>350</v>
      </c>
      <c r="L326" s="94">
        <v>350</v>
      </c>
      <c r="M326" s="562">
        <v>83</v>
      </c>
      <c r="N326" s="563">
        <f t="shared" si="110"/>
        <v>23.714285714285715</v>
      </c>
      <c r="O326" s="573">
        <v>142</v>
      </c>
      <c r="P326" s="563">
        <f t="shared" si="111"/>
        <v>40.57142857142857</v>
      </c>
      <c r="Q326" s="397">
        <v>172</v>
      </c>
      <c r="R326" s="563">
        <f t="shared" si="112"/>
        <v>49.142857142857146</v>
      </c>
      <c r="S326" s="397">
        <v>167</v>
      </c>
      <c r="T326" s="563">
        <f t="shared" si="113"/>
        <v>47.714285714285715</v>
      </c>
      <c r="U326" s="397">
        <v>168</v>
      </c>
      <c r="V326" s="397"/>
    </row>
    <row r="327" spans="1:22" s="88" customFormat="1" ht="12.75">
      <c r="A327" s="204"/>
      <c r="B327" s="331" t="s">
        <v>254</v>
      </c>
      <c r="C327" s="203"/>
      <c r="D327" s="55"/>
      <c r="E327" s="55"/>
      <c r="F327" s="55"/>
      <c r="G327" s="94">
        <f>501+5</f>
        <v>506</v>
      </c>
      <c r="H327" s="201">
        <v>500</v>
      </c>
      <c r="I327" s="94">
        <v>500</v>
      </c>
      <c r="J327" s="202">
        <v>256</v>
      </c>
      <c r="K327" s="204">
        <v>500</v>
      </c>
      <c r="L327" s="94">
        <v>506</v>
      </c>
      <c r="M327" s="562">
        <v>132</v>
      </c>
      <c r="N327" s="563">
        <f t="shared" si="110"/>
        <v>26.08695652173913</v>
      </c>
      <c r="O327" s="573">
        <v>138</v>
      </c>
      <c r="P327" s="563">
        <f t="shared" si="111"/>
        <v>27.27272727272727</v>
      </c>
      <c r="Q327" s="397">
        <v>183</v>
      </c>
      <c r="R327" s="563">
        <f t="shared" si="112"/>
        <v>36.16600790513834</v>
      </c>
      <c r="S327" s="397">
        <v>183</v>
      </c>
      <c r="T327" s="563">
        <f t="shared" si="113"/>
        <v>36.16600790513834</v>
      </c>
      <c r="U327" s="397">
        <v>185</v>
      </c>
      <c r="V327" s="397"/>
    </row>
    <row r="328" spans="1:22" s="88" customFormat="1" ht="12.75">
      <c r="A328" s="204"/>
      <c r="B328" s="331" t="s">
        <v>255</v>
      </c>
      <c r="C328" s="203"/>
      <c r="D328" s="55"/>
      <c r="E328" s="55"/>
      <c r="F328" s="55"/>
      <c r="G328" s="94">
        <v>170</v>
      </c>
      <c r="H328" s="201">
        <v>150</v>
      </c>
      <c r="I328" s="204">
        <v>121</v>
      </c>
      <c r="J328" s="205">
        <v>22</v>
      </c>
      <c r="K328" s="204">
        <v>130</v>
      </c>
      <c r="L328" s="94">
        <v>280</v>
      </c>
      <c r="M328" s="562">
        <v>23</v>
      </c>
      <c r="N328" s="563">
        <f t="shared" si="110"/>
        <v>8.214285714285714</v>
      </c>
      <c r="O328" s="573">
        <v>28</v>
      </c>
      <c r="P328" s="563">
        <f t="shared" si="111"/>
        <v>10</v>
      </c>
      <c r="Q328" s="397">
        <v>33</v>
      </c>
      <c r="R328" s="563">
        <f t="shared" si="112"/>
        <v>11.785714285714285</v>
      </c>
      <c r="S328" s="397">
        <v>62</v>
      </c>
      <c r="T328" s="563">
        <f t="shared" si="113"/>
        <v>22.142857142857142</v>
      </c>
      <c r="U328" s="397">
        <v>73</v>
      </c>
      <c r="V328" s="397"/>
    </row>
    <row r="329" spans="1:22" s="88" customFormat="1" ht="12.75">
      <c r="A329" s="53"/>
      <c r="B329" s="203" t="s">
        <v>256</v>
      </c>
      <c r="C329" s="55"/>
      <c r="D329" s="55"/>
      <c r="E329" s="55"/>
      <c r="F329" s="55"/>
      <c r="G329" s="94">
        <v>338</v>
      </c>
      <c r="H329" s="201">
        <v>500</v>
      </c>
      <c r="I329" s="94">
        <v>500</v>
      </c>
      <c r="J329" s="202">
        <v>263</v>
      </c>
      <c r="K329" s="204">
        <f>500</f>
        <v>500</v>
      </c>
      <c r="L329" s="94">
        <v>500</v>
      </c>
      <c r="M329" s="562">
        <v>71</v>
      </c>
      <c r="N329" s="563">
        <f t="shared" si="110"/>
        <v>14.2</v>
      </c>
      <c r="O329" s="573">
        <v>129</v>
      </c>
      <c r="P329" s="563">
        <f t="shared" si="111"/>
        <v>25.8</v>
      </c>
      <c r="Q329" s="562">
        <v>197</v>
      </c>
      <c r="R329" s="563">
        <f t="shared" si="112"/>
        <v>39.4</v>
      </c>
      <c r="S329" s="562">
        <v>197</v>
      </c>
      <c r="T329" s="563">
        <f t="shared" si="113"/>
        <v>39.4</v>
      </c>
      <c r="U329" s="397">
        <v>213</v>
      </c>
      <c r="V329" s="397"/>
    </row>
    <row r="330" spans="1:22" s="88" customFormat="1" ht="12.75">
      <c r="A330" s="53"/>
      <c r="B330" s="203" t="s">
        <v>257</v>
      </c>
      <c r="C330" s="55"/>
      <c r="D330" s="55"/>
      <c r="E330" s="55"/>
      <c r="F330" s="55"/>
      <c r="G330" s="94">
        <v>354</v>
      </c>
      <c r="H330" s="201">
        <v>350</v>
      </c>
      <c r="I330" s="94">
        <v>350</v>
      </c>
      <c r="J330" s="202">
        <v>178</v>
      </c>
      <c r="K330" s="204">
        <v>350</v>
      </c>
      <c r="L330" s="94">
        <v>375</v>
      </c>
      <c r="M330" s="562">
        <v>87</v>
      </c>
      <c r="N330" s="563">
        <f t="shared" si="110"/>
        <v>23.200000000000003</v>
      </c>
      <c r="O330" s="573">
        <v>118</v>
      </c>
      <c r="P330" s="563">
        <f t="shared" si="111"/>
        <v>31.466666666666665</v>
      </c>
      <c r="Q330" s="562">
        <v>169</v>
      </c>
      <c r="R330" s="563">
        <f t="shared" si="112"/>
        <v>45.06666666666666</v>
      </c>
      <c r="S330" s="562">
        <v>169</v>
      </c>
      <c r="T330" s="563">
        <f t="shared" si="113"/>
        <v>45.06666666666666</v>
      </c>
      <c r="U330" s="397">
        <v>172</v>
      </c>
      <c r="V330" s="397"/>
    </row>
    <row r="331" spans="1:22" s="88" customFormat="1" ht="12.75">
      <c r="A331" s="53"/>
      <c r="B331" s="203" t="s">
        <v>258</v>
      </c>
      <c r="C331" s="55"/>
      <c r="D331" s="55"/>
      <c r="E331" s="55"/>
      <c r="F331" s="55"/>
      <c r="G331" s="94">
        <v>548</v>
      </c>
      <c r="H331" s="201">
        <v>300</v>
      </c>
      <c r="I331" s="94">
        <f>300+250</f>
        <v>550</v>
      </c>
      <c r="J331" s="202">
        <v>267</v>
      </c>
      <c r="K331" s="204">
        <v>550</v>
      </c>
      <c r="L331" s="94">
        <v>556</v>
      </c>
      <c r="M331" s="562">
        <v>101</v>
      </c>
      <c r="N331" s="563">
        <f t="shared" si="110"/>
        <v>18.165467625899282</v>
      </c>
      <c r="O331" s="573">
        <v>126</v>
      </c>
      <c r="P331" s="563">
        <f t="shared" si="111"/>
        <v>22.66187050359712</v>
      </c>
      <c r="Q331" s="562">
        <v>146</v>
      </c>
      <c r="R331" s="563">
        <f t="shared" si="112"/>
        <v>26.258992805755394</v>
      </c>
      <c r="S331" s="562">
        <v>148</v>
      </c>
      <c r="T331" s="563">
        <f t="shared" si="113"/>
        <v>26.618705035971225</v>
      </c>
      <c r="U331" s="397">
        <v>148</v>
      </c>
      <c r="V331" s="397"/>
    </row>
    <row r="332" spans="1:22" s="88" customFormat="1" ht="12.75">
      <c r="A332" s="53"/>
      <c r="B332" s="203" t="s">
        <v>259</v>
      </c>
      <c r="C332" s="55"/>
      <c r="D332" s="55"/>
      <c r="E332" s="55"/>
      <c r="F332" s="55"/>
      <c r="G332" s="94">
        <v>4</v>
      </c>
      <c r="H332" s="201">
        <v>5</v>
      </c>
      <c r="I332" s="94">
        <v>5</v>
      </c>
      <c r="J332" s="202">
        <v>2</v>
      </c>
      <c r="K332" s="204">
        <v>5</v>
      </c>
      <c r="L332" s="94">
        <v>5</v>
      </c>
      <c r="M332" s="562">
        <v>1</v>
      </c>
      <c r="N332" s="563">
        <f t="shared" si="110"/>
        <v>20</v>
      </c>
      <c r="O332" s="573">
        <v>1</v>
      </c>
      <c r="P332" s="563">
        <f t="shared" si="111"/>
        <v>20</v>
      </c>
      <c r="Q332" s="562">
        <v>2</v>
      </c>
      <c r="R332" s="563">
        <f t="shared" si="112"/>
        <v>40</v>
      </c>
      <c r="S332" s="562">
        <v>2</v>
      </c>
      <c r="T332" s="563">
        <f t="shared" si="113"/>
        <v>40</v>
      </c>
      <c r="U332" s="397">
        <v>2</v>
      </c>
      <c r="V332" s="397"/>
    </row>
    <row r="333" spans="1:22" s="88" customFormat="1" ht="12.75">
      <c r="A333" s="53"/>
      <c r="B333" s="203" t="s">
        <v>260</v>
      </c>
      <c r="C333" s="55"/>
      <c r="D333" s="55"/>
      <c r="E333" s="55"/>
      <c r="F333" s="55"/>
      <c r="G333" s="94">
        <v>0</v>
      </c>
      <c r="H333" s="201">
        <v>0</v>
      </c>
      <c r="I333" s="204">
        <v>20</v>
      </c>
      <c r="J333" s="205">
        <v>5</v>
      </c>
      <c r="K333" s="204">
        <v>40</v>
      </c>
      <c r="L333" s="94">
        <v>60</v>
      </c>
      <c r="M333" s="562"/>
      <c r="N333" s="434"/>
      <c r="O333" s="573"/>
      <c r="P333" s="554"/>
      <c r="Q333" s="562"/>
      <c r="R333" s="554"/>
      <c r="S333" s="562">
        <v>0</v>
      </c>
      <c r="T333" s="565"/>
      <c r="U333" s="397"/>
      <c r="V333" s="397"/>
    </row>
    <row r="334" spans="1:22" s="88" customFormat="1" ht="12.75">
      <c r="A334" s="53"/>
      <c r="B334" s="331" t="s">
        <v>261</v>
      </c>
      <c r="C334" s="55"/>
      <c r="D334" s="55"/>
      <c r="E334" s="55"/>
      <c r="F334" s="55"/>
      <c r="G334" s="94">
        <v>55</v>
      </c>
      <c r="H334" s="201">
        <v>100</v>
      </c>
      <c r="I334" s="94">
        <v>100</v>
      </c>
      <c r="J334" s="202">
        <v>10</v>
      </c>
      <c r="K334" s="204">
        <v>100</v>
      </c>
      <c r="L334" s="94">
        <v>100</v>
      </c>
      <c r="M334" s="562">
        <v>5</v>
      </c>
      <c r="N334" s="563">
        <f>SUM(M334/L334)*100</f>
        <v>5</v>
      </c>
      <c r="O334" s="573">
        <v>5</v>
      </c>
      <c r="P334" s="563">
        <f>SUM(O334/L334)*100</f>
        <v>5</v>
      </c>
      <c r="Q334" s="562">
        <v>5</v>
      </c>
      <c r="R334" s="563">
        <f>SUM(Q334/L334)*100</f>
        <v>5</v>
      </c>
      <c r="S334" s="562">
        <v>5</v>
      </c>
      <c r="T334" s="563">
        <f>SUM(S334/L334)*100</f>
        <v>5</v>
      </c>
      <c r="U334" s="397">
        <v>5</v>
      </c>
      <c r="V334" s="397"/>
    </row>
    <row r="335" spans="1:22" s="88" customFormat="1" ht="12.75">
      <c r="A335" s="53"/>
      <c r="B335" s="331" t="s">
        <v>923</v>
      </c>
      <c r="C335" s="55"/>
      <c r="D335" s="55"/>
      <c r="E335" s="55"/>
      <c r="F335" s="55"/>
      <c r="G335" s="94"/>
      <c r="H335" s="201"/>
      <c r="I335" s="94"/>
      <c r="J335" s="202"/>
      <c r="K335" s="204"/>
      <c r="L335" s="94">
        <v>21</v>
      </c>
      <c r="M335" s="562"/>
      <c r="N335" s="434"/>
      <c r="O335" s="573"/>
      <c r="P335" s="554"/>
      <c r="Q335" s="562"/>
      <c r="R335" s="554"/>
      <c r="S335" s="562">
        <v>0</v>
      </c>
      <c r="T335" s="565"/>
      <c r="U335" s="397"/>
      <c r="V335" s="397"/>
    </row>
    <row r="336" spans="1:22" s="131" customFormat="1" ht="12.75">
      <c r="A336" s="71">
        <v>633009</v>
      </c>
      <c r="B336" s="24" t="s">
        <v>262</v>
      </c>
      <c r="C336" s="24"/>
      <c r="D336" s="24"/>
      <c r="E336" s="24"/>
      <c r="F336" s="24"/>
      <c r="G336" s="92">
        <v>374</v>
      </c>
      <c r="H336" s="91">
        <v>300</v>
      </c>
      <c r="I336" s="92">
        <v>300</v>
      </c>
      <c r="J336" s="206">
        <v>214</v>
      </c>
      <c r="K336" s="71">
        <v>350</v>
      </c>
      <c r="L336" s="92">
        <v>350</v>
      </c>
      <c r="M336" s="389">
        <v>84</v>
      </c>
      <c r="N336" s="430">
        <f>SUM(M336/L336)*100</f>
        <v>24</v>
      </c>
      <c r="O336" s="543">
        <v>99</v>
      </c>
      <c r="P336" s="430">
        <f>SUM(O336/L336)*100</f>
        <v>28.285714285714285</v>
      </c>
      <c r="Q336" s="389">
        <v>121</v>
      </c>
      <c r="R336" s="430">
        <f>SUM(Q336/L336)*100</f>
        <v>34.57142857142857</v>
      </c>
      <c r="S336" s="389">
        <v>124</v>
      </c>
      <c r="T336" s="430">
        <f>SUM(S336/L336)*100</f>
        <v>35.42857142857142</v>
      </c>
      <c r="U336" s="389">
        <v>125</v>
      </c>
      <c r="V336" s="389"/>
    </row>
    <row r="337" spans="1:22" s="131" customFormat="1" ht="13.5" thickBot="1">
      <c r="A337" s="71">
        <v>633010</v>
      </c>
      <c r="B337" s="24" t="s">
        <v>263</v>
      </c>
      <c r="C337" s="24"/>
      <c r="D337" s="24"/>
      <c r="E337" s="24"/>
      <c r="F337" s="24"/>
      <c r="G337" s="92">
        <v>0</v>
      </c>
      <c r="H337" s="91">
        <v>14</v>
      </c>
      <c r="I337" s="92">
        <v>14</v>
      </c>
      <c r="J337" s="206">
        <v>13</v>
      </c>
      <c r="K337" s="71">
        <v>14</v>
      </c>
      <c r="L337" s="92">
        <v>14</v>
      </c>
      <c r="M337" s="389"/>
      <c r="N337" s="430"/>
      <c r="O337" s="120"/>
      <c r="P337" s="559"/>
      <c r="Q337" s="120"/>
      <c r="R337" s="559"/>
      <c r="S337" s="120">
        <v>0</v>
      </c>
      <c r="T337" s="559"/>
      <c r="U337" s="389"/>
      <c r="V337" s="389"/>
    </row>
    <row r="338" spans="1:14" ht="12.75">
      <c r="A338" s="500"/>
      <c r="B338" s="500"/>
      <c r="C338" s="500"/>
      <c r="D338" s="4"/>
      <c r="E338" s="4"/>
      <c r="F338" s="4"/>
      <c r="G338" s="30"/>
      <c r="H338" s="499"/>
      <c r="I338" s="523"/>
      <c r="J338" s="524"/>
      <c r="K338" s="3"/>
      <c r="L338" s="419"/>
      <c r="M338" s="419"/>
      <c r="N338" s="490"/>
    </row>
    <row r="339" spans="1:14" ht="12.75">
      <c r="A339" s="55"/>
      <c r="B339" s="55"/>
      <c r="C339" s="55"/>
      <c r="D339" s="12"/>
      <c r="E339" s="12"/>
      <c r="F339" s="12"/>
      <c r="G339" s="26"/>
      <c r="H339" s="57"/>
      <c r="I339" s="56"/>
      <c r="J339" s="200"/>
      <c r="K339" s="11"/>
      <c r="L339" s="52"/>
      <c r="N339" s="428"/>
    </row>
    <row r="340" spans="1:14" ht="12.75">
      <c r="A340" s="55"/>
      <c r="B340" s="55"/>
      <c r="C340" s="55"/>
      <c r="D340" s="12"/>
      <c r="E340" s="12"/>
      <c r="F340" s="12"/>
      <c r="G340" s="26"/>
      <c r="H340" s="57"/>
      <c r="I340" s="56"/>
      <c r="J340" s="200"/>
      <c r="K340" s="11"/>
      <c r="L340" s="52"/>
      <c r="N340" s="428"/>
    </row>
    <row r="341" spans="1:14" ht="12.75">
      <c r="A341" s="55"/>
      <c r="B341" s="55"/>
      <c r="C341" s="55"/>
      <c r="D341" s="12"/>
      <c r="E341" s="12"/>
      <c r="F341" s="12"/>
      <c r="G341" s="26"/>
      <c r="H341" s="57"/>
      <c r="I341" s="56"/>
      <c r="J341" s="200"/>
      <c r="K341" s="11"/>
      <c r="L341" s="52"/>
      <c r="N341" s="428"/>
    </row>
    <row r="342" spans="1:14" ht="13.5" thickBot="1">
      <c r="A342" s="55"/>
      <c r="B342" s="55"/>
      <c r="C342" s="55"/>
      <c r="D342" s="12"/>
      <c r="E342" s="12"/>
      <c r="F342" s="12"/>
      <c r="G342" s="26"/>
      <c r="H342" s="57"/>
      <c r="I342" s="56"/>
      <c r="J342" s="200"/>
      <c r="K342" s="11"/>
      <c r="L342" s="52"/>
      <c r="N342" s="428"/>
    </row>
    <row r="343" spans="1:20" ht="13.5" thickBot="1">
      <c r="A343" s="177" t="s">
        <v>44</v>
      </c>
      <c r="B343" s="178"/>
      <c r="C343" s="178"/>
      <c r="D343" s="179"/>
      <c r="E343" s="179"/>
      <c r="F343" s="179"/>
      <c r="G343" s="15" t="s">
        <v>23</v>
      </c>
      <c r="H343" s="136"/>
      <c r="I343" s="137" t="s">
        <v>155</v>
      </c>
      <c r="J343" s="138" t="s">
        <v>156</v>
      </c>
      <c r="K343" s="10" t="s">
        <v>25</v>
      </c>
      <c r="L343" s="238" t="s">
        <v>645</v>
      </c>
      <c r="M343" s="403" t="s">
        <v>296</v>
      </c>
      <c r="N343" s="421" t="s">
        <v>683</v>
      </c>
      <c r="O343" s="403" t="s">
        <v>296</v>
      </c>
      <c r="P343" s="426" t="s">
        <v>683</v>
      </c>
      <c r="Q343" s="415" t="s">
        <v>296</v>
      </c>
      <c r="R343" s="426" t="s">
        <v>681</v>
      </c>
      <c r="S343" s="415" t="s">
        <v>296</v>
      </c>
      <c r="T343" s="426" t="s">
        <v>681</v>
      </c>
    </row>
    <row r="344" spans="1:20" ht="16.5" thickTop="1">
      <c r="A344" s="180" t="s">
        <v>159</v>
      </c>
      <c r="B344" s="181" t="s">
        <v>160</v>
      </c>
      <c r="C344" s="182"/>
      <c r="D344" s="12"/>
      <c r="E344" s="12"/>
      <c r="F344" s="12"/>
      <c r="G344" s="11" t="s">
        <v>45</v>
      </c>
      <c r="H344" s="32" t="s">
        <v>27</v>
      </c>
      <c r="I344" s="6" t="s">
        <v>92</v>
      </c>
      <c r="J344" s="108" t="s">
        <v>29</v>
      </c>
      <c r="K344" s="33" t="s">
        <v>46</v>
      </c>
      <c r="L344" s="208"/>
      <c r="M344" s="25" t="s">
        <v>297</v>
      </c>
      <c r="N344" s="422"/>
      <c r="O344" s="25" t="s">
        <v>750</v>
      </c>
      <c r="P344" s="547"/>
      <c r="Q344" s="416" t="s">
        <v>896</v>
      </c>
      <c r="R344" s="547"/>
      <c r="S344" s="416" t="s">
        <v>957</v>
      </c>
      <c r="T344" s="547"/>
    </row>
    <row r="345" spans="1:20" ht="13.5" thickBot="1">
      <c r="A345" s="183"/>
      <c r="B345" s="184"/>
      <c r="C345" s="185"/>
      <c r="D345" s="37"/>
      <c r="E345" s="37"/>
      <c r="F345" s="37"/>
      <c r="G345" s="83"/>
      <c r="H345" s="84">
        <v>38335</v>
      </c>
      <c r="I345" s="148">
        <v>38587</v>
      </c>
      <c r="J345" s="110" t="s">
        <v>31</v>
      </c>
      <c r="K345" s="33" t="s">
        <v>32</v>
      </c>
      <c r="L345" s="242"/>
      <c r="M345" s="404"/>
      <c r="N345" s="423"/>
      <c r="O345" s="404"/>
      <c r="P345" s="548"/>
      <c r="Q345" s="411"/>
      <c r="R345" s="548"/>
      <c r="S345" s="411"/>
      <c r="T345" s="548"/>
    </row>
    <row r="346" spans="1:20" ht="13.5" thickBot="1">
      <c r="A346" s="186" t="s">
        <v>47</v>
      </c>
      <c r="B346" s="187"/>
      <c r="C346" s="39"/>
      <c r="D346" s="188" t="s">
        <v>48</v>
      </c>
      <c r="E346" s="19"/>
      <c r="F346" s="19"/>
      <c r="G346" s="152">
        <v>1</v>
      </c>
      <c r="H346" s="41">
        <v>2</v>
      </c>
      <c r="I346" s="22">
        <v>3</v>
      </c>
      <c r="J346" s="22">
        <v>4</v>
      </c>
      <c r="K346" s="40">
        <v>1</v>
      </c>
      <c r="L346" s="599">
        <v>1</v>
      </c>
      <c r="M346" s="409"/>
      <c r="N346" s="424"/>
      <c r="O346" s="409"/>
      <c r="P346" s="551"/>
      <c r="R346" s="556"/>
      <c r="S346" s="409"/>
      <c r="T346" s="551"/>
    </row>
    <row r="347" spans="1:22" s="131" customFormat="1" ht="12.75">
      <c r="A347" s="566">
        <v>633011</v>
      </c>
      <c r="B347" s="168" t="s">
        <v>264</v>
      </c>
      <c r="C347" s="168"/>
      <c r="D347" s="168"/>
      <c r="E347" s="168"/>
      <c r="F347" s="168"/>
      <c r="G347" s="521">
        <v>87</v>
      </c>
      <c r="H347" s="489">
        <v>150</v>
      </c>
      <c r="I347" s="521">
        <v>150</v>
      </c>
      <c r="J347" s="522">
        <v>50</v>
      </c>
      <c r="K347" s="566">
        <v>150</v>
      </c>
      <c r="L347" s="521">
        <v>150</v>
      </c>
      <c r="M347" s="489">
        <v>12</v>
      </c>
      <c r="N347" s="525">
        <f>SUM(M347/L347)*100</f>
        <v>8</v>
      </c>
      <c r="O347" s="522">
        <v>17</v>
      </c>
      <c r="P347" s="430">
        <f>SUM(O347/L347)*100</f>
        <v>11.333333333333332</v>
      </c>
      <c r="Q347" s="522">
        <v>26</v>
      </c>
      <c r="R347" s="525">
        <f>SUM(Q347/L347)*100</f>
        <v>17.333333333333336</v>
      </c>
      <c r="S347" s="389">
        <v>29</v>
      </c>
      <c r="T347" s="430">
        <f>SUM(S347/L347)*100</f>
        <v>19.333333333333332</v>
      </c>
      <c r="U347" s="389">
        <v>36</v>
      </c>
      <c r="V347" s="389"/>
    </row>
    <row r="348" spans="1:22" s="131" customFormat="1" ht="12.75">
      <c r="A348" s="71">
        <v>633013</v>
      </c>
      <c r="B348" s="24" t="s">
        <v>265</v>
      </c>
      <c r="C348" s="24"/>
      <c r="D348" s="24"/>
      <c r="E348" s="24"/>
      <c r="F348" s="24"/>
      <c r="G348" s="92">
        <v>581</v>
      </c>
      <c r="H348" s="91">
        <v>300</v>
      </c>
      <c r="I348" s="92">
        <v>300</v>
      </c>
      <c r="J348" s="206">
        <v>260</v>
      </c>
      <c r="K348" s="71">
        <v>525</v>
      </c>
      <c r="L348" s="92">
        <f>SUM(L349+L350)</f>
        <v>525</v>
      </c>
      <c r="M348" s="91">
        <v>111</v>
      </c>
      <c r="N348" s="430">
        <f>SUM(M348/L348)*100</f>
        <v>21.142857142857142</v>
      </c>
      <c r="O348" s="206">
        <v>179</v>
      </c>
      <c r="P348" s="430">
        <f>SUM(O348/L348)*100</f>
        <v>34.095238095238095</v>
      </c>
      <c r="Q348" s="389">
        <v>222</v>
      </c>
      <c r="R348" s="430">
        <f>SUM(Q348/L348)*100</f>
        <v>42.285714285714285</v>
      </c>
      <c r="S348" s="206">
        <f>SUM(S349+S350)</f>
        <v>258</v>
      </c>
      <c r="T348" s="430">
        <f>SUM(S348/L348)*100</f>
        <v>49.142857142857146</v>
      </c>
      <c r="U348" s="206">
        <f>SUM(U349+U350)</f>
        <v>258</v>
      </c>
      <c r="V348" s="389"/>
    </row>
    <row r="349" spans="1:22" s="88" customFormat="1" ht="12.75">
      <c r="A349" s="53"/>
      <c r="B349" s="55" t="s">
        <v>958</v>
      </c>
      <c r="C349" s="55"/>
      <c r="D349" s="55"/>
      <c r="E349" s="55"/>
      <c r="F349" s="55"/>
      <c r="G349" s="56"/>
      <c r="H349" s="57"/>
      <c r="I349" s="56"/>
      <c r="J349" s="200"/>
      <c r="K349" s="53"/>
      <c r="L349" s="56">
        <v>0</v>
      </c>
      <c r="M349" s="57"/>
      <c r="N349" s="434"/>
      <c r="O349" s="200"/>
      <c r="P349" s="434"/>
      <c r="Q349" s="397"/>
      <c r="R349" s="434"/>
      <c r="S349" s="397">
        <v>12</v>
      </c>
      <c r="T349" s="554"/>
      <c r="U349" s="397">
        <v>12</v>
      </c>
      <c r="V349" s="397"/>
    </row>
    <row r="350" spans="1:22" s="88" customFormat="1" ht="12.75">
      <c r="A350" s="53"/>
      <c r="B350" s="55" t="s">
        <v>959</v>
      </c>
      <c r="C350" s="55"/>
      <c r="D350" s="55"/>
      <c r="E350" s="55"/>
      <c r="F350" s="55"/>
      <c r="G350" s="56"/>
      <c r="H350" s="57"/>
      <c r="I350" s="56"/>
      <c r="J350" s="200"/>
      <c r="K350" s="53"/>
      <c r="L350" s="56">
        <v>525</v>
      </c>
      <c r="M350" s="57"/>
      <c r="N350" s="434"/>
      <c r="O350" s="200"/>
      <c r="P350" s="434"/>
      <c r="Q350" s="397"/>
      <c r="R350" s="434"/>
      <c r="S350" s="397">
        <v>246</v>
      </c>
      <c r="T350" s="434">
        <f>SUM(S350/L350)*100</f>
        <v>46.85714285714286</v>
      </c>
      <c r="U350" s="397">
        <v>246</v>
      </c>
      <c r="V350" s="397"/>
    </row>
    <row r="351" spans="1:22" s="131" customFormat="1" ht="12.75">
      <c r="A351" s="71">
        <v>633016</v>
      </c>
      <c r="B351" s="24" t="s">
        <v>266</v>
      </c>
      <c r="C351" s="24"/>
      <c r="D351" s="24"/>
      <c r="E351" s="24"/>
      <c r="F351" s="24"/>
      <c r="G351" s="92">
        <f aca="true" t="shared" si="114" ref="G351:U351">SUM(G352:G353)</f>
        <v>780</v>
      </c>
      <c r="H351" s="91">
        <f t="shared" si="114"/>
        <v>650</v>
      </c>
      <c r="I351" s="92">
        <f t="shared" si="114"/>
        <v>650</v>
      </c>
      <c r="J351" s="206">
        <f t="shared" si="114"/>
        <v>161</v>
      </c>
      <c r="K351" s="92">
        <f t="shared" si="114"/>
        <v>800</v>
      </c>
      <c r="L351" s="92">
        <f t="shared" si="114"/>
        <v>800</v>
      </c>
      <c r="M351" s="206">
        <f t="shared" si="114"/>
        <v>69</v>
      </c>
      <c r="N351" s="430">
        <f>SUM(M351/L351)*100</f>
        <v>8.625</v>
      </c>
      <c r="O351" s="206">
        <f t="shared" si="114"/>
        <v>93</v>
      </c>
      <c r="P351" s="430">
        <f>SUM(O351/L351)*100</f>
        <v>11.625</v>
      </c>
      <c r="Q351" s="206">
        <f t="shared" si="114"/>
        <v>266</v>
      </c>
      <c r="R351" s="430">
        <f>SUM(Q351/L351)*100</f>
        <v>33.25</v>
      </c>
      <c r="S351" s="206">
        <f t="shared" si="114"/>
        <v>320</v>
      </c>
      <c r="T351" s="430">
        <f>SUM(S351/L351)*100</f>
        <v>40</v>
      </c>
      <c r="U351" s="206">
        <f t="shared" si="114"/>
        <v>342</v>
      </c>
      <c r="V351" s="389"/>
    </row>
    <row r="352" spans="1:22" s="564" customFormat="1" ht="12">
      <c r="A352" s="204"/>
      <c r="B352" s="331" t="s">
        <v>267</v>
      </c>
      <c r="C352" s="203"/>
      <c r="D352" s="70"/>
      <c r="E352" s="70"/>
      <c r="F352" s="70"/>
      <c r="G352" s="60">
        <v>437</v>
      </c>
      <c r="H352" s="201">
        <v>450</v>
      </c>
      <c r="I352" s="94">
        <v>450</v>
      </c>
      <c r="J352" s="202">
        <v>88</v>
      </c>
      <c r="K352" s="67">
        <v>500</v>
      </c>
      <c r="L352" s="94">
        <v>500</v>
      </c>
      <c r="M352" s="562">
        <v>24</v>
      </c>
      <c r="N352" s="563">
        <f>SUM(M352/L352)*100</f>
        <v>4.8</v>
      </c>
      <c r="O352" s="202">
        <v>35</v>
      </c>
      <c r="P352" s="563">
        <f>SUM(O352/L352)*100</f>
        <v>7.000000000000001</v>
      </c>
      <c r="Q352" s="562">
        <v>164</v>
      </c>
      <c r="R352" s="563">
        <f>SUM(Q352/L352)*100</f>
        <v>32.800000000000004</v>
      </c>
      <c r="S352" s="562">
        <v>210</v>
      </c>
      <c r="T352" s="563">
        <f>SUM(S352/L352)*100</f>
        <v>42</v>
      </c>
      <c r="U352" s="562">
        <v>216</v>
      </c>
      <c r="V352" s="562"/>
    </row>
    <row r="353" spans="1:22" s="564" customFormat="1" ht="12">
      <c r="A353" s="204"/>
      <c r="B353" s="331" t="s">
        <v>268</v>
      </c>
      <c r="C353" s="203"/>
      <c r="D353" s="70"/>
      <c r="E353" s="70"/>
      <c r="F353" s="70"/>
      <c r="G353" s="60">
        <v>343</v>
      </c>
      <c r="H353" s="201">
        <v>200</v>
      </c>
      <c r="I353" s="94">
        <v>200</v>
      </c>
      <c r="J353" s="202">
        <v>73</v>
      </c>
      <c r="K353" s="67">
        <v>300</v>
      </c>
      <c r="L353" s="94">
        <v>300</v>
      </c>
      <c r="M353" s="562">
        <v>45</v>
      </c>
      <c r="N353" s="563">
        <f>SUM(M353/L353)*100</f>
        <v>15</v>
      </c>
      <c r="O353" s="202">
        <v>58</v>
      </c>
      <c r="P353" s="563">
        <f>SUM(O353/L353)*100</f>
        <v>19.333333333333332</v>
      </c>
      <c r="Q353" s="562">
        <v>102</v>
      </c>
      <c r="R353" s="563">
        <f>SUM(Q353/L353)*100</f>
        <v>34</v>
      </c>
      <c r="S353" s="562">
        <v>110</v>
      </c>
      <c r="T353" s="563">
        <f>SUM(S353/L353)*100</f>
        <v>36.666666666666664</v>
      </c>
      <c r="U353" s="562">
        <v>126</v>
      </c>
      <c r="V353" s="562"/>
    </row>
    <row r="354" spans="1:20" ht="12.75">
      <c r="A354" s="53"/>
      <c r="B354" s="207"/>
      <c r="C354" s="55"/>
      <c r="D354" s="12"/>
      <c r="E354" s="12"/>
      <c r="F354" s="12"/>
      <c r="G354" s="60"/>
      <c r="H354" s="201"/>
      <c r="I354" s="14"/>
      <c r="J354" s="11"/>
      <c r="K354" s="14"/>
      <c r="L354" s="26"/>
      <c r="N354" s="425"/>
      <c r="O354" s="25"/>
      <c r="P354" s="547"/>
      <c r="R354" s="547"/>
      <c r="T354" s="547"/>
    </row>
    <row r="355" spans="1:21" ht="12.75">
      <c r="A355" s="66">
        <v>634</v>
      </c>
      <c r="B355" s="49" t="s">
        <v>269</v>
      </c>
      <c r="C355" s="49"/>
      <c r="D355" s="12"/>
      <c r="E355" s="12"/>
      <c r="F355" s="12"/>
      <c r="G355" s="193">
        <f>SUM(G357:G363)</f>
        <v>800</v>
      </c>
      <c r="H355" s="194">
        <f>SUM(H357:H363)</f>
        <v>748</v>
      </c>
      <c r="I355" s="193">
        <f>SUM(I357:I363)</f>
        <v>848</v>
      </c>
      <c r="J355" s="195">
        <f>SUM(J357:J363)</f>
        <v>383</v>
      </c>
      <c r="K355" s="193">
        <f>SUM(K357:K363)</f>
        <v>1103</v>
      </c>
      <c r="L355" s="50">
        <f>SUM(L356+L359+L360+L363)</f>
        <v>1209</v>
      </c>
      <c r="M355" s="197">
        <f>SUM(M357:M363)</f>
        <v>204</v>
      </c>
      <c r="N355" s="433">
        <f aca="true" t="shared" si="115" ref="N355:N363">SUM(M355/L355)*100</f>
        <v>16.87344913151365</v>
      </c>
      <c r="O355" s="197">
        <f>SUM(O357:O363)</f>
        <v>347</v>
      </c>
      <c r="P355" s="433">
        <f>SUM(O355/L355)*100</f>
        <v>28.701406120760957</v>
      </c>
      <c r="Q355" s="197" t="e">
        <f>SUM(Q356+Q359+Q360+Q363+#REF!)</f>
        <v>#REF!</v>
      </c>
      <c r="R355" s="433" t="e">
        <f aca="true" t="shared" si="116" ref="R355:R363">SUM(Q355/L355)*100</f>
        <v>#REF!</v>
      </c>
      <c r="S355" s="542">
        <f>SUM(S356+S359+S360+S363)</f>
        <v>481</v>
      </c>
      <c r="T355" s="540">
        <f aca="true" t="shared" si="117" ref="T355:T363">SUM(S355/L355)*100</f>
        <v>39.784946236559136</v>
      </c>
      <c r="U355" s="542">
        <f>SUM(U356+U359+U360+U363)</f>
        <v>582</v>
      </c>
    </row>
    <row r="356" spans="1:21" ht="12.75">
      <c r="A356" s="53">
        <v>634001</v>
      </c>
      <c r="B356" s="24" t="s">
        <v>270</v>
      </c>
      <c r="C356" s="24"/>
      <c r="D356" s="24"/>
      <c r="E356" s="24"/>
      <c r="F356" s="24"/>
      <c r="G356" s="26"/>
      <c r="H356" s="91"/>
      <c r="I356" s="14"/>
      <c r="J356" s="11"/>
      <c r="K356" s="14"/>
      <c r="L356" s="26">
        <f>SUM(L357+L358)</f>
        <v>470</v>
      </c>
      <c r="M356" s="327">
        <f>SUM(M357+M358)</f>
        <v>71</v>
      </c>
      <c r="N356" s="532">
        <f t="shared" si="115"/>
        <v>15.106382978723405</v>
      </c>
      <c r="O356" s="25">
        <f>SUM(O357+O358)</f>
        <v>140</v>
      </c>
      <c r="P356" s="425">
        <f>SUM(O356/L356)*100</f>
        <v>29.78723404255319</v>
      </c>
      <c r="Q356" s="25">
        <f>SUM(Q357+Q358)</f>
        <v>193</v>
      </c>
      <c r="R356" s="430">
        <f t="shared" si="116"/>
        <v>41.06382978723404</v>
      </c>
      <c r="S356" s="25">
        <f>SUM(S357+S358)</f>
        <v>210</v>
      </c>
      <c r="T356" s="430">
        <f t="shared" si="117"/>
        <v>44.680851063829785</v>
      </c>
      <c r="U356" s="25">
        <f>SUM(U357+U358)</f>
        <v>246</v>
      </c>
    </row>
    <row r="357" spans="1:22" s="88" customFormat="1" ht="12.75">
      <c r="A357" s="53"/>
      <c r="B357" s="55" t="s">
        <v>271</v>
      </c>
      <c r="C357" s="55"/>
      <c r="D357" s="55"/>
      <c r="E357" s="55"/>
      <c r="F357" s="55"/>
      <c r="G357" s="56">
        <v>394</v>
      </c>
      <c r="H357" s="55">
        <v>400</v>
      </c>
      <c r="I357" s="53">
        <v>473</v>
      </c>
      <c r="J357" s="93">
        <v>183</v>
      </c>
      <c r="K357" s="53">
        <v>450</v>
      </c>
      <c r="L357" s="56">
        <v>450</v>
      </c>
      <c r="M357" s="544">
        <v>66</v>
      </c>
      <c r="N357" s="541">
        <f t="shared" si="115"/>
        <v>14.666666666666666</v>
      </c>
      <c r="O357" s="200">
        <v>133</v>
      </c>
      <c r="P357" s="434">
        <f>SUM(O357/L357)*100</f>
        <v>29.555555555555557</v>
      </c>
      <c r="Q357" s="397">
        <v>186</v>
      </c>
      <c r="R357" s="434">
        <f t="shared" si="116"/>
        <v>41.333333333333336</v>
      </c>
      <c r="S357" s="397">
        <v>201</v>
      </c>
      <c r="T357" s="434">
        <f t="shared" si="117"/>
        <v>44.666666666666664</v>
      </c>
      <c r="U357" s="397">
        <v>236</v>
      </c>
      <c r="V357" s="397"/>
    </row>
    <row r="358" spans="1:22" s="88" customFormat="1" ht="12.75">
      <c r="A358" s="53"/>
      <c r="B358" s="55" t="s">
        <v>272</v>
      </c>
      <c r="C358" s="55"/>
      <c r="D358" s="55"/>
      <c r="E358" s="55"/>
      <c r="F358" s="55"/>
      <c r="G358" s="56">
        <v>11</v>
      </c>
      <c r="H358" s="55">
        <v>10</v>
      </c>
      <c r="I358" s="53">
        <v>20</v>
      </c>
      <c r="J358" s="93">
        <v>8</v>
      </c>
      <c r="K358" s="53">
        <v>20</v>
      </c>
      <c r="L358" s="56">
        <v>20</v>
      </c>
      <c r="M358" s="397">
        <v>5</v>
      </c>
      <c r="N358" s="434">
        <f t="shared" si="115"/>
        <v>25</v>
      </c>
      <c r="O358" s="200">
        <v>7</v>
      </c>
      <c r="P358" s="434">
        <f>SUM(O358/L358)*100</f>
        <v>35</v>
      </c>
      <c r="Q358" s="397">
        <v>7</v>
      </c>
      <c r="R358" s="434">
        <f t="shared" si="116"/>
        <v>35</v>
      </c>
      <c r="S358" s="397">
        <v>9</v>
      </c>
      <c r="T358" s="434">
        <f t="shared" si="117"/>
        <v>45</v>
      </c>
      <c r="U358" s="397">
        <v>10</v>
      </c>
      <c r="V358" s="397"/>
    </row>
    <row r="359" spans="1:22" s="131" customFormat="1" ht="12.75">
      <c r="A359" s="71">
        <v>634002</v>
      </c>
      <c r="B359" s="24" t="s">
        <v>273</v>
      </c>
      <c r="C359" s="24"/>
      <c r="D359" s="24"/>
      <c r="E359" s="24"/>
      <c r="F359" s="24"/>
      <c r="G359" s="92">
        <v>238</v>
      </c>
      <c r="H359" s="91">
        <v>200</v>
      </c>
      <c r="I359" s="71">
        <v>200</v>
      </c>
      <c r="J359" s="23">
        <v>116</v>
      </c>
      <c r="K359" s="71">
        <v>250</v>
      </c>
      <c r="L359" s="92">
        <v>320</v>
      </c>
      <c r="M359" s="389">
        <v>36</v>
      </c>
      <c r="N359" s="430">
        <f t="shared" si="115"/>
        <v>11.25</v>
      </c>
      <c r="O359" s="206">
        <v>60</v>
      </c>
      <c r="P359" s="430">
        <f>SUM(O359/L359)*100</f>
        <v>18.75</v>
      </c>
      <c r="Q359" s="389">
        <v>69</v>
      </c>
      <c r="R359" s="430">
        <f t="shared" si="116"/>
        <v>21.5625</v>
      </c>
      <c r="S359" s="389">
        <v>75</v>
      </c>
      <c r="T359" s="430">
        <f t="shared" si="117"/>
        <v>23.4375</v>
      </c>
      <c r="U359" s="389">
        <v>96</v>
      </c>
      <c r="V359" s="389"/>
    </row>
    <row r="360" spans="1:22" s="131" customFormat="1" ht="12.75">
      <c r="A360" s="71">
        <v>634003</v>
      </c>
      <c r="B360" s="24" t="s">
        <v>439</v>
      </c>
      <c r="C360" s="24"/>
      <c r="D360" s="24"/>
      <c r="E360" s="24"/>
      <c r="F360" s="24"/>
      <c r="G360" s="92"/>
      <c r="H360" s="91"/>
      <c r="I360" s="71"/>
      <c r="J360" s="23"/>
      <c r="K360" s="71"/>
      <c r="L360" s="92">
        <f>SUM(L361+L362)</f>
        <v>208</v>
      </c>
      <c r="M360" s="389"/>
      <c r="N360" s="430"/>
      <c r="O360" s="206"/>
      <c r="P360" s="430"/>
      <c r="Q360" s="206">
        <f>SUM(Q361+Q362)</f>
        <v>100</v>
      </c>
      <c r="R360" s="430">
        <f t="shared" si="116"/>
        <v>48.07692307692308</v>
      </c>
      <c r="S360" s="206">
        <f>SUM(S361+S362)</f>
        <v>91</v>
      </c>
      <c r="T360" s="430">
        <f t="shared" si="117"/>
        <v>43.75</v>
      </c>
      <c r="U360" s="206">
        <f>SUM(U361+U362)</f>
        <v>117</v>
      </c>
      <c r="V360" s="389"/>
    </row>
    <row r="361" spans="1:22" s="627" customFormat="1" ht="12">
      <c r="A361" s="204"/>
      <c r="B361" s="203" t="s">
        <v>274</v>
      </c>
      <c r="C361" s="203"/>
      <c r="D361" s="203"/>
      <c r="E361" s="203"/>
      <c r="F361" s="203"/>
      <c r="G361" s="94">
        <v>61</v>
      </c>
      <c r="H361" s="201">
        <v>50</v>
      </c>
      <c r="I361" s="204">
        <v>50</v>
      </c>
      <c r="J361" s="205">
        <v>8</v>
      </c>
      <c r="K361" s="204">
        <v>70</v>
      </c>
      <c r="L361" s="94">
        <v>70</v>
      </c>
      <c r="M361" s="562">
        <v>-3</v>
      </c>
      <c r="N361" s="563">
        <f t="shared" si="115"/>
        <v>-4.285714285714286</v>
      </c>
      <c r="O361" s="202">
        <v>14</v>
      </c>
      <c r="P361" s="563">
        <f>SUM(O361/L361)*100</f>
        <v>20</v>
      </c>
      <c r="Q361" s="562">
        <v>14</v>
      </c>
      <c r="R361" s="563">
        <f t="shared" si="116"/>
        <v>20</v>
      </c>
      <c r="S361" s="562">
        <v>14</v>
      </c>
      <c r="T361" s="563">
        <f t="shared" si="117"/>
        <v>20</v>
      </c>
      <c r="U361" s="562">
        <v>23</v>
      </c>
      <c r="V361" s="562"/>
    </row>
    <row r="362" spans="1:22" s="627" customFormat="1" ht="12">
      <c r="A362" s="204"/>
      <c r="B362" s="203" t="s">
        <v>275</v>
      </c>
      <c r="C362" s="203"/>
      <c r="D362" s="203"/>
      <c r="E362" s="203"/>
      <c r="F362" s="203"/>
      <c r="G362" s="94">
        <v>94</v>
      </c>
      <c r="H362" s="201">
        <v>88</v>
      </c>
      <c r="I362" s="204">
        <v>88</v>
      </c>
      <c r="J362" s="205">
        <v>51</v>
      </c>
      <c r="K362" s="204">
        <v>102</v>
      </c>
      <c r="L362" s="94">
        <v>138</v>
      </c>
      <c r="M362" s="562">
        <v>47</v>
      </c>
      <c r="N362" s="563">
        <f t="shared" si="115"/>
        <v>34.05797101449276</v>
      </c>
      <c r="O362" s="202">
        <v>63</v>
      </c>
      <c r="P362" s="563">
        <f>SUM(O362/L362)*100</f>
        <v>45.65217391304348</v>
      </c>
      <c r="Q362" s="562">
        <v>86</v>
      </c>
      <c r="R362" s="563">
        <f t="shared" si="116"/>
        <v>62.31884057971014</v>
      </c>
      <c r="S362" s="562">
        <v>77</v>
      </c>
      <c r="T362" s="563">
        <f t="shared" si="117"/>
        <v>55.79710144927537</v>
      </c>
      <c r="U362" s="562">
        <v>94</v>
      </c>
      <c r="V362" s="562"/>
    </row>
    <row r="363" spans="1:22" s="131" customFormat="1" ht="12.75">
      <c r="A363" s="71">
        <v>634004</v>
      </c>
      <c r="B363" s="24" t="s">
        <v>276</v>
      </c>
      <c r="C363" s="24"/>
      <c r="D363" s="24"/>
      <c r="E363" s="24"/>
      <c r="F363" s="24"/>
      <c r="G363" s="92">
        <v>2</v>
      </c>
      <c r="H363" s="91">
        <v>0</v>
      </c>
      <c r="I363" s="71">
        <v>17</v>
      </c>
      <c r="J363" s="23">
        <v>17</v>
      </c>
      <c r="K363" s="71">
        <v>211</v>
      </c>
      <c r="L363" s="92">
        <v>211</v>
      </c>
      <c r="M363" s="389">
        <v>53</v>
      </c>
      <c r="N363" s="430">
        <f t="shared" si="115"/>
        <v>25.118483412322274</v>
      </c>
      <c r="O363" s="206">
        <v>70</v>
      </c>
      <c r="P363" s="430">
        <f>SUM(O363/L363)*100</f>
        <v>33.175355450236964</v>
      </c>
      <c r="Q363" s="389">
        <v>105</v>
      </c>
      <c r="R363" s="430">
        <f t="shared" si="116"/>
        <v>49.763033175355446</v>
      </c>
      <c r="S363" s="389">
        <v>105</v>
      </c>
      <c r="T363" s="430">
        <f t="shared" si="117"/>
        <v>49.763033175355446</v>
      </c>
      <c r="U363" s="389">
        <v>123</v>
      </c>
      <c r="V363" s="389"/>
    </row>
    <row r="364" spans="1:20" ht="12.75">
      <c r="A364" s="82"/>
      <c r="B364" s="95"/>
      <c r="C364" s="95"/>
      <c r="D364" s="34"/>
      <c r="E364" s="12"/>
      <c r="F364" s="12"/>
      <c r="G364" s="208"/>
      <c r="H364" s="209"/>
      <c r="I364" s="32"/>
      <c r="J364" s="33"/>
      <c r="K364" s="14"/>
      <c r="L364" s="26"/>
      <c r="M364" s="52"/>
      <c r="N364" s="425"/>
      <c r="O364" s="25"/>
      <c r="P364" s="547"/>
      <c r="Q364" s="52"/>
      <c r="R364" s="547"/>
      <c r="T364" s="547"/>
    </row>
    <row r="365" spans="1:21" ht="12.75">
      <c r="A365" s="66">
        <v>635</v>
      </c>
      <c r="B365" s="49" t="s">
        <v>277</v>
      </c>
      <c r="C365" s="49"/>
      <c r="D365" s="12"/>
      <c r="E365" s="12"/>
      <c r="F365" s="12"/>
      <c r="G365" s="193">
        <f aca="true" t="shared" si="118" ref="G365:M365">SUM(G366:G370)</f>
        <v>2036</v>
      </c>
      <c r="H365" s="210">
        <f t="shared" si="118"/>
        <v>1900</v>
      </c>
      <c r="I365" s="193">
        <f t="shared" si="118"/>
        <v>2398</v>
      </c>
      <c r="J365" s="195">
        <f t="shared" si="118"/>
        <v>691</v>
      </c>
      <c r="K365" s="193">
        <f t="shared" si="118"/>
        <v>2030</v>
      </c>
      <c r="L365" s="50">
        <f t="shared" si="118"/>
        <v>2570</v>
      </c>
      <c r="M365" s="197">
        <f t="shared" si="118"/>
        <v>506</v>
      </c>
      <c r="N365" s="433">
        <f aca="true" t="shared" si="119" ref="N365:N370">SUM(M365/L365)*100</f>
        <v>19.688715953307394</v>
      </c>
      <c r="O365" s="197">
        <f>SUM(O366:O370)</f>
        <v>701</v>
      </c>
      <c r="P365" s="433">
        <f>SUM(O365/L365)*100</f>
        <v>27.276264591439688</v>
      </c>
      <c r="Q365" s="197">
        <f>SUM(Q366:Q370)</f>
        <v>805</v>
      </c>
      <c r="R365" s="433">
        <f>SUM(Q365/L365)*100</f>
        <v>31.32295719844358</v>
      </c>
      <c r="S365" s="197">
        <f>SUM(S366:S370)</f>
        <v>838</v>
      </c>
      <c r="T365" s="433">
        <f>SUM(S365/L365)*100</f>
        <v>32.60700389105058</v>
      </c>
      <c r="U365" s="197">
        <f>SUM(U366:U370)</f>
        <v>873</v>
      </c>
    </row>
    <row r="366" spans="1:22" s="131" customFormat="1" ht="12.75">
      <c r="A366" s="71">
        <v>635002</v>
      </c>
      <c r="B366" s="24" t="s">
        <v>279</v>
      </c>
      <c r="C366" s="24"/>
      <c r="D366" s="24"/>
      <c r="E366" s="24"/>
      <c r="F366" s="24"/>
      <c r="G366" s="92">
        <v>439</v>
      </c>
      <c r="H366" s="320">
        <f>500+300</f>
        <v>800</v>
      </c>
      <c r="I366" s="92">
        <f>500+300</f>
        <v>800</v>
      </c>
      <c r="J366" s="206">
        <v>393</v>
      </c>
      <c r="K366" s="71">
        <v>780</v>
      </c>
      <c r="L366" s="92">
        <v>780</v>
      </c>
      <c r="M366" s="91">
        <v>193</v>
      </c>
      <c r="N366" s="430">
        <f t="shared" si="119"/>
        <v>24.743589743589745</v>
      </c>
      <c r="O366" s="206">
        <v>402</v>
      </c>
      <c r="P366" s="430">
        <f aca="true" t="shared" si="120" ref="P366:P371">SUM(O366/L366)*100</f>
        <v>51.53846153846153</v>
      </c>
      <c r="Q366" s="91">
        <v>417</v>
      </c>
      <c r="R366" s="430">
        <f aca="true" t="shared" si="121" ref="R366:R372">SUM(Q366/L366)*100</f>
        <v>53.46153846153846</v>
      </c>
      <c r="S366" s="389">
        <v>446</v>
      </c>
      <c r="T366" s="430">
        <f aca="true" t="shared" si="122" ref="T366:T372">SUM(S366/L366)*100</f>
        <v>57.179487179487175</v>
      </c>
      <c r="U366" s="389">
        <v>464</v>
      </c>
      <c r="V366" s="389"/>
    </row>
    <row r="367" spans="1:22" s="131" customFormat="1" ht="12.75">
      <c r="A367" s="71">
        <v>635004</v>
      </c>
      <c r="B367" s="24" t="s">
        <v>280</v>
      </c>
      <c r="C367" s="24"/>
      <c r="D367" s="24"/>
      <c r="E367" s="24"/>
      <c r="F367" s="24"/>
      <c r="G367" s="92">
        <f>227</f>
        <v>227</v>
      </c>
      <c r="H367" s="320">
        <v>250</v>
      </c>
      <c r="I367" s="92">
        <v>250</v>
      </c>
      <c r="J367" s="206">
        <v>85</v>
      </c>
      <c r="K367" s="71">
        <v>200</v>
      </c>
      <c r="L367" s="92">
        <v>250</v>
      </c>
      <c r="M367" s="91">
        <v>26</v>
      </c>
      <c r="N367" s="430">
        <f t="shared" si="119"/>
        <v>10.4</v>
      </c>
      <c r="O367" s="206">
        <v>43</v>
      </c>
      <c r="P367" s="430">
        <f t="shared" si="120"/>
        <v>17.2</v>
      </c>
      <c r="Q367" s="91">
        <v>79</v>
      </c>
      <c r="R367" s="430">
        <f t="shared" si="121"/>
        <v>31.6</v>
      </c>
      <c r="S367" s="389">
        <v>80</v>
      </c>
      <c r="T367" s="430">
        <f t="shared" si="122"/>
        <v>32</v>
      </c>
      <c r="U367" s="389">
        <v>98</v>
      </c>
      <c r="V367" s="389"/>
    </row>
    <row r="368" spans="1:22" s="131" customFormat="1" ht="12.75">
      <c r="A368" s="71">
        <v>635003</v>
      </c>
      <c r="B368" s="24" t="s">
        <v>281</v>
      </c>
      <c r="C368" s="24"/>
      <c r="D368" s="24"/>
      <c r="E368" s="24"/>
      <c r="F368" s="24"/>
      <c r="G368" s="92">
        <v>216</v>
      </c>
      <c r="H368" s="320">
        <v>50</v>
      </c>
      <c r="I368" s="92">
        <v>50</v>
      </c>
      <c r="J368" s="206">
        <v>33</v>
      </c>
      <c r="K368" s="71">
        <v>50</v>
      </c>
      <c r="L368" s="92">
        <v>50</v>
      </c>
      <c r="M368" s="91">
        <v>1</v>
      </c>
      <c r="N368" s="430">
        <f t="shared" si="119"/>
        <v>2</v>
      </c>
      <c r="O368" s="206">
        <v>2</v>
      </c>
      <c r="P368" s="430">
        <f t="shared" si="120"/>
        <v>4</v>
      </c>
      <c r="Q368" s="91">
        <v>4</v>
      </c>
      <c r="R368" s="430">
        <f t="shared" si="121"/>
        <v>8</v>
      </c>
      <c r="S368" s="389">
        <v>5</v>
      </c>
      <c r="T368" s="430">
        <f t="shared" si="122"/>
        <v>10</v>
      </c>
      <c r="U368" s="389">
        <v>5</v>
      </c>
      <c r="V368" s="389"/>
    </row>
    <row r="369" spans="1:22" s="131" customFormat="1" ht="12.75">
      <c r="A369" s="71">
        <v>635006</v>
      </c>
      <c r="B369" s="24" t="s">
        <v>282</v>
      </c>
      <c r="C369" s="24"/>
      <c r="D369" s="24"/>
      <c r="E369" s="24"/>
      <c r="F369" s="24"/>
      <c r="G369" s="92">
        <v>339</v>
      </c>
      <c r="H369" s="320">
        <v>300</v>
      </c>
      <c r="I369" s="92">
        <v>300</v>
      </c>
      <c r="J369" s="206">
        <v>172</v>
      </c>
      <c r="K369" s="71">
        <v>500</v>
      </c>
      <c r="L369" s="92">
        <v>490</v>
      </c>
      <c r="M369" s="91">
        <v>194</v>
      </c>
      <c r="N369" s="430">
        <f t="shared" si="119"/>
        <v>39.59183673469388</v>
      </c>
      <c r="O369" s="206">
        <v>252</v>
      </c>
      <c r="P369" s="430">
        <f t="shared" si="120"/>
        <v>51.42857142857142</v>
      </c>
      <c r="Q369" s="91">
        <v>247</v>
      </c>
      <c r="R369" s="430">
        <f t="shared" si="121"/>
        <v>50.40816326530613</v>
      </c>
      <c r="S369" s="389">
        <v>248</v>
      </c>
      <c r="T369" s="430">
        <f t="shared" si="122"/>
        <v>50.61224489795918</v>
      </c>
      <c r="U369" s="389">
        <v>248</v>
      </c>
      <c r="V369" s="389"/>
    </row>
    <row r="370" spans="1:22" s="131" customFormat="1" ht="12.75">
      <c r="A370" s="71"/>
      <c r="B370" s="24" t="s">
        <v>283</v>
      </c>
      <c r="C370" s="24"/>
      <c r="D370" s="24"/>
      <c r="E370" s="24"/>
      <c r="F370" s="24"/>
      <c r="G370" s="92">
        <v>815</v>
      </c>
      <c r="H370" s="320">
        <v>500</v>
      </c>
      <c r="I370" s="92">
        <f>500+500-2</f>
        <v>998</v>
      </c>
      <c r="J370" s="206">
        <v>8</v>
      </c>
      <c r="K370" s="71">
        <v>500</v>
      </c>
      <c r="L370" s="92">
        <v>1000</v>
      </c>
      <c r="M370" s="91">
        <f>SUM(M371:M375)</f>
        <v>92</v>
      </c>
      <c r="N370" s="430">
        <f t="shared" si="119"/>
        <v>9.2</v>
      </c>
      <c r="O370" s="206">
        <f>SUM(O371:O375)</f>
        <v>2</v>
      </c>
      <c r="P370" s="430">
        <f t="shared" si="120"/>
        <v>0.2</v>
      </c>
      <c r="Q370" s="206">
        <f>SUM(Q371:Q375)</f>
        <v>58</v>
      </c>
      <c r="R370" s="430">
        <f t="shared" si="121"/>
        <v>5.800000000000001</v>
      </c>
      <c r="S370" s="206">
        <f>SUM(S371:S375)</f>
        <v>59</v>
      </c>
      <c r="T370" s="430">
        <f t="shared" si="122"/>
        <v>5.8999999999999995</v>
      </c>
      <c r="U370" s="206">
        <f>SUM(U371:U375)</f>
        <v>58</v>
      </c>
      <c r="V370" s="389"/>
    </row>
    <row r="371" spans="1:22" s="627" customFormat="1" ht="12">
      <c r="A371" s="204"/>
      <c r="B371" s="203" t="s">
        <v>351</v>
      </c>
      <c r="C371" s="203"/>
      <c r="D371" s="203"/>
      <c r="E371" s="203"/>
      <c r="F371" s="203"/>
      <c r="G371" s="94"/>
      <c r="H371" s="630"/>
      <c r="I371" s="94"/>
      <c r="J371" s="202"/>
      <c r="K371" s="204"/>
      <c r="L371" s="94">
        <v>200</v>
      </c>
      <c r="M371" s="201">
        <v>0</v>
      </c>
      <c r="N371" s="563"/>
      <c r="O371" s="202">
        <v>1</v>
      </c>
      <c r="P371" s="563">
        <f t="shared" si="120"/>
        <v>0.5</v>
      </c>
      <c r="Q371" s="201">
        <v>10</v>
      </c>
      <c r="R371" s="563">
        <f t="shared" si="121"/>
        <v>5</v>
      </c>
      <c r="S371" s="562">
        <v>10</v>
      </c>
      <c r="T371" s="563">
        <f t="shared" si="122"/>
        <v>5</v>
      </c>
      <c r="U371" s="562">
        <v>10</v>
      </c>
      <c r="V371" s="562"/>
    </row>
    <row r="372" spans="1:22" s="627" customFormat="1" ht="12">
      <c r="A372" s="204"/>
      <c r="B372" s="203" t="s">
        <v>352</v>
      </c>
      <c r="C372" s="203"/>
      <c r="D372" s="203"/>
      <c r="E372" s="203"/>
      <c r="F372" s="203"/>
      <c r="G372" s="94"/>
      <c r="H372" s="630"/>
      <c r="I372" s="94"/>
      <c r="J372" s="202"/>
      <c r="K372" s="204"/>
      <c r="L372" s="94">
        <v>200</v>
      </c>
      <c r="M372" s="201">
        <v>0</v>
      </c>
      <c r="N372" s="563"/>
      <c r="O372" s="202"/>
      <c r="P372" s="565"/>
      <c r="Q372" s="201">
        <v>14</v>
      </c>
      <c r="R372" s="563">
        <f t="shared" si="121"/>
        <v>7.000000000000001</v>
      </c>
      <c r="S372" s="562">
        <v>14</v>
      </c>
      <c r="T372" s="563">
        <f t="shared" si="122"/>
        <v>7.000000000000001</v>
      </c>
      <c r="U372" s="562">
        <v>14</v>
      </c>
      <c r="V372" s="562"/>
    </row>
    <row r="373" spans="1:22" s="627" customFormat="1" ht="12">
      <c r="A373" s="204"/>
      <c r="B373" s="203" t="s">
        <v>353</v>
      </c>
      <c r="C373" s="203"/>
      <c r="D373" s="203"/>
      <c r="E373" s="203"/>
      <c r="F373" s="203"/>
      <c r="G373" s="94"/>
      <c r="H373" s="630"/>
      <c r="I373" s="94"/>
      <c r="J373" s="202"/>
      <c r="K373" s="204"/>
      <c r="L373" s="94">
        <v>200</v>
      </c>
      <c r="M373" s="201">
        <v>1</v>
      </c>
      <c r="N373" s="563">
        <f>SUM(M373/L373)*100</f>
        <v>0.5</v>
      </c>
      <c r="O373" s="202"/>
      <c r="P373" s="563"/>
      <c r="Q373" s="201"/>
      <c r="R373" s="565"/>
      <c r="S373" s="562">
        <v>0</v>
      </c>
      <c r="T373" s="565"/>
      <c r="U373" s="562"/>
      <c r="V373" s="562"/>
    </row>
    <row r="374" spans="1:22" s="627" customFormat="1" ht="12">
      <c r="A374" s="204"/>
      <c r="B374" s="203" t="s">
        <v>354</v>
      </c>
      <c r="C374" s="203"/>
      <c r="D374" s="203"/>
      <c r="E374" s="203"/>
      <c r="F374" s="203"/>
      <c r="G374" s="94"/>
      <c r="H374" s="630"/>
      <c r="I374" s="94"/>
      <c r="J374" s="202"/>
      <c r="K374" s="204"/>
      <c r="L374" s="94">
        <v>200</v>
      </c>
      <c r="M374" s="201">
        <v>91</v>
      </c>
      <c r="N374" s="563">
        <f>SUM(M374/L374)*100</f>
        <v>45.5</v>
      </c>
      <c r="O374" s="202">
        <v>1</v>
      </c>
      <c r="P374" s="563">
        <f>SUM(O374/L374)*100</f>
        <v>0.5</v>
      </c>
      <c r="Q374" s="201">
        <v>34</v>
      </c>
      <c r="R374" s="563">
        <f>SUM(Q374/L374)*100</f>
        <v>17</v>
      </c>
      <c r="S374" s="562">
        <v>35</v>
      </c>
      <c r="T374" s="563">
        <f>SUM(S374/L374)*100</f>
        <v>17.5</v>
      </c>
      <c r="U374" s="562">
        <v>34</v>
      </c>
      <c r="V374" s="562"/>
    </row>
    <row r="375" spans="1:22" s="627" customFormat="1" ht="12">
      <c r="A375" s="204"/>
      <c r="B375" s="203" t="s">
        <v>355</v>
      </c>
      <c r="C375" s="203"/>
      <c r="D375" s="203"/>
      <c r="E375" s="203"/>
      <c r="F375" s="203"/>
      <c r="G375" s="94"/>
      <c r="H375" s="630"/>
      <c r="I375" s="94"/>
      <c r="J375" s="202"/>
      <c r="K375" s="204"/>
      <c r="L375" s="94">
        <v>200</v>
      </c>
      <c r="M375" s="201">
        <v>0</v>
      </c>
      <c r="N375" s="563"/>
      <c r="O375" s="202"/>
      <c r="P375" s="565"/>
      <c r="Q375" s="201"/>
      <c r="R375" s="565"/>
      <c r="S375" s="562">
        <v>0</v>
      </c>
      <c r="T375" s="565"/>
      <c r="U375" s="562"/>
      <c r="V375" s="562"/>
    </row>
    <row r="376" spans="1:20" ht="12.75">
      <c r="A376" s="53"/>
      <c r="B376" s="55"/>
      <c r="C376" s="55"/>
      <c r="D376" s="12"/>
      <c r="E376" s="12"/>
      <c r="F376" s="12"/>
      <c r="G376" s="26"/>
      <c r="H376" s="211"/>
      <c r="I376" s="56"/>
      <c r="J376" s="200"/>
      <c r="K376" s="14"/>
      <c r="L376" s="26"/>
      <c r="M376" s="52"/>
      <c r="N376" s="425"/>
      <c r="O376" s="25"/>
      <c r="P376" s="547"/>
      <c r="Q376" s="52"/>
      <c r="R376" s="547"/>
      <c r="T376" s="547"/>
    </row>
    <row r="377" spans="1:21" ht="12.75">
      <c r="A377" s="66">
        <v>636</v>
      </c>
      <c r="B377" s="49" t="s">
        <v>284</v>
      </c>
      <c r="C377" s="49"/>
      <c r="D377" s="12"/>
      <c r="E377" s="12"/>
      <c r="F377" s="12"/>
      <c r="G377" s="193">
        <f aca="true" t="shared" si="123" ref="G377:U377">SUM(G378:G380)</f>
        <v>545</v>
      </c>
      <c r="H377" s="210">
        <f t="shared" si="123"/>
        <v>498</v>
      </c>
      <c r="I377" s="193">
        <f t="shared" si="123"/>
        <v>400</v>
      </c>
      <c r="J377" s="195">
        <f t="shared" si="123"/>
        <v>161</v>
      </c>
      <c r="K377" s="193">
        <f t="shared" si="123"/>
        <v>400</v>
      </c>
      <c r="L377" s="50">
        <f t="shared" si="123"/>
        <v>681</v>
      </c>
      <c r="M377" s="197">
        <f t="shared" si="123"/>
        <v>91</v>
      </c>
      <c r="N377" s="433">
        <f>SUM(M377/L377)*100</f>
        <v>13.362701908957417</v>
      </c>
      <c r="O377" s="197">
        <f t="shared" si="123"/>
        <v>384</v>
      </c>
      <c r="P377" s="433">
        <f>SUM(O377/L377)*100</f>
        <v>56.38766519823789</v>
      </c>
      <c r="Q377" s="197">
        <f t="shared" si="123"/>
        <v>454</v>
      </c>
      <c r="R377" s="433">
        <f>SUM(Q377/L377)*100</f>
        <v>66.66666666666666</v>
      </c>
      <c r="S377" s="197">
        <f t="shared" si="123"/>
        <v>456</v>
      </c>
      <c r="T377" s="433">
        <f>SUM(S377/L377)*100</f>
        <v>66.96035242290749</v>
      </c>
      <c r="U377" s="197">
        <f t="shared" si="123"/>
        <v>456</v>
      </c>
    </row>
    <row r="378" spans="1:21" ht="12.75">
      <c r="A378" s="71">
        <v>636001</v>
      </c>
      <c r="B378" s="24" t="s">
        <v>285</v>
      </c>
      <c r="C378" s="49"/>
      <c r="D378" s="12"/>
      <c r="E378" s="12"/>
      <c r="F378" s="12"/>
      <c r="G378" s="26">
        <v>395</v>
      </c>
      <c r="H378" s="211">
        <v>400</v>
      </c>
      <c r="I378" s="56">
        <v>400</v>
      </c>
      <c r="J378" s="200">
        <v>161</v>
      </c>
      <c r="K378" s="53">
        <v>400</v>
      </c>
      <c r="L378" s="92">
        <v>681</v>
      </c>
      <c r="M378" s="52">
        <v>91</v>
      </c>
      <c r="N378" s="425">
        <f>SUM(M378/L378)*100</f>
        <v>13.362701908957417</v>
      </c>
      <c r="O378" s="25">
        <v>384</v>
      </c>
      <c r="P378" s="425">
        <f>SUM(O378/L378)*100</f>
        <v>56.38766519823789</v>
      </c>
      <c r="Q378" s="52">
        <v>454</v>
      </c>
      <c r="R378" s="430">
        <f>SUM(Q378/L378)*100</f>
        <v>66.66666666666666</v>
      </c>
      <c r="S378" s="31">
        <v>456</v>
      </c>
      <c r="T378" s="430">
        <f>SUM(S378/L378)*100</f>
        <v>66.96035242290749</v>
      </c>
      <c r="U378" s="31">
        <v>456</v>
      </c>
    </row>
    <row r="379" spans="1:22" s="131" customFormat="1" ht="12.75">
      <c r="A379" s="71">
        <v>636002</v>
      </c>
      <c r="B379" s="24" t="s">
        <v>286</v>
      </c>
      <c r="C379" s="49"/>
      <c r="D379" s="24"/>
      <c r="E379" s="24"/>
      <c r="F379" s="24"/>
      <c r="G379" s="92">
        <v>67</v>
      </c>
      <c r="H379" s="320">
        <v>70</v>
      </c>
      <c r="I379" s="92">
        <v>0</v>
      </c>
      <c r="J379" s="206">
        <v>0</v>
      </c>
      <c r="K379" s="71">
        <v>0</v>
      </c>
      <c r="L379" s="92">
        <v>0</v>
      </c>
      <c r="M379" s="91"/>
      <c r="N379" s="430"/>
      <c r="O379" s="206"/>
      <c r="P379" s="549"/>
      <c r="Q379" s="91"/>
      <c r="R379" s="549"/>
      <c r="S379" s="389"/>
      <c r="T379" s="549"/>
      <c r="U379" s="389"/>
      <c r="V379" s="389"/>
    </row>
    <row r="380" spans="1:22" s="131" customFormat="1" ht="12.75">
      <c r="A380" s="71">
        <v>636004</v>
      </c>
      <c r="B380" s="24" t="s">
        <v>287</v>
      </c>
      <c r="C380" s="24"/>
      <c r="D380" s="24"/>
      <c r="E380" s="24"/>
      <c r="F380" s="24"/>
      <c r="G380" s="92">
        <v>83</v>
      </c>
      <c r="H380" s="320">
        <v>28</v>
      </c>
      <c r="I380" s="92">
        <v>0</v>
      </c>
      <c r="J380" s="206">
        <v>0</v>
      </c>
      <c r="K380" s="71">
        <v>0</v>
      </c>
      <c r="L380" s="92">
        <v>0</v>
      </c>
      <c r="M380" s="543"/>
      <c r="N380" s="430"/>
      <c r="O380" s="206"/>
      <c r="P380" s="549"/>
      <c r="Q380" s="91"/>
      <c r="R380" s="549"/>
      <c r="S380" s="389"/>
      <c r="T380" s="549"/>
      <c r="U380" s="389"/>
      <c r="V380" s="389"/>
    </row>
    <row r="381" spans="1:20" ht="12.75">
      <c r="A381" s="53"/>
      <c r="B381" s="24"/>
      <c r="C381" s="55"/>
      <c r="D381" s="12"/>
      <c r="E381" s="12"/>
      <c r="F381" s="12"/>
      <c r="G381" s="52"/>
      <c r="H381" s="57"/>
      <c r="I381" s="57"/>
      <c r="J381" s="57"/>
      <c r="K381" s="55"/>
      <c r="L381" s="56"/>
      <c r="M381" s="52"/>
      <c r="N381" s="425"/>
      <c r="O381" s="25"/>
      <c r="P381" s="547"/>
      <c r="Q381" s="52"/>
      <c r="R381" s="547"/>
      <c r="T381" s="547"/>
    </row>
    <row r="382" spans="1:21" ht="12.75">
      <c r="A382" s="66">
        <v>637</v>
      </c>
      <c r="B382" s="49" t="s">
        <v>288</v>
      </c>
      <c r="C382" s="49"/>
      <c r="D382" s="12"/>
      <c r="E382" s="12"/>
      <c r="F382" s="12"/>
      <c r="G382" s="193">
        <f>SUM(G383:G425)-G385-G392</f>
        <v>16798</v>
      </c>
      <c r="H382" s="194">
        <f>SUM(H383:H420)-H385-H392+H421+H422+H423+H424</f>
        <v>48166</v>
      </c>
      <c r="I382" s="193">
        <f>SUM(I383:I420)-I385-I392+I421+I422+I423+I424</f>
        <v>49224</v>
      </c>
      <c r="J382" s="194">
        <f>SUM(J383:J425)-J385-J392</f>
        <v>4973</v>
      </c>
      <c r="K382" s="193">
        <f>SUM(K383:K425)-K385-K392</f>
        <v>11403</v>
      </c>
      <c r="L382" s="50">
        <f>SUM(L383+L384+L385+L392+L406+L412+L418+L419+L420+L421+L422+L423+L424+L425)</f>
        <v>18647</v>
      </c>
      <c r="M382" s="197" t="e">
        <f>SUM(M383+M384+M385+M392+#REF!+M406+M412+M418+M419+M420+M421+M422+#REF!+M423+M424+M425)</f>
        <v>#REF!</v>
      </c>
      <c r="N382" s="433" t="e">
        <f>SUM(M382/L382)*100</f>
        <v>#REF!</v>
      </c>
      <c r="O382" s="197" t="e">
        <f>SUM(O383+O384+O385+O392+#REF!+O406+O412+O418+O419+O420+O421+O422+#REF!+O423+O424+O425)</f>
        <v>#REF!</v>
      </c>
      <c r="P382" s="433" t="e">
        <f>SUM(O382/L382)*100</f>
        <v>#REF!</v>
      </c>
      <c r="Q382" s="197" t="e">
        <f>SUM(Q383+Q384+Q385+Q392+#REF!+Q406+Q412+Q418+Q419+Q420+Q421+Q422+#REF!+Q423+Q424+Q425)</f>
        <v>#REF!</v>
      </c>
      <c r="R382" s="433" t="e">
        <f>SUM(Q382/L382)*100</f>
        <v>#REF!</v>
      </c>
      <c r="S382" s="542">
        <f>SUM(S383+S384+S385+S392+S406+S412+S418+S419+S420+S421+S422+S423+S424+S425)</f>
        <v>10287</v>
      </c>
      <c r="T382" s="540">
        <f>SUM(S382/L382)*100</f>
        <v>55.16705100016088</v>
      </c>
      <c r="U382" s="542">
        <f>SUM(U383+U384+U385+U392+U406+U412+U418+U419+U420+U421+U422+U423+U424+U425)</f>
        <v>11056</v>
      </c>
    </row>
    <row r="383" spans="1:22" s="131" customFormat="1" ht="12.75">
      <c r="A383" s="71">
        <v>637001</v>
      </c>
      <c r="B383" s="24" t="s">
        <v>289</v>
      </c>
      <c r="C383" s="24"/>
      <c r="D383" s="24"/>
      <c r="E383" s="24"/>
      <c r="F383" s="24"/>
      <c r="G383" s="92">
        <v>394</v>
      </c>
      <c r="H383" s="91">
        <v>500</v>
      </c>
      <c r="I383" s="71">
        <v>500</v>
      </c>
      <c r="J383" s="24">
        <v>204</v>
      </c>
      <c r="K383" s="71">
        <f>240+10+250</f>
        <v>500</v>
      </c>
      <c r="L383" s="92">
        <v>510</v>
      </c>
      <c r="M383" s="389">
        <v>119</v>
      </c>
      <c r="N383" s="430">
        <f>SUM(M383/L383)*100</f>
        <v>23.333333333333332</v>
      </c>
      <c r="O383" s="206">
        <v>139</v>
      </c>
      <c r="P383" s="430">
        <f>SUM(O383/L383)*100</f>
        <v>27.254901960784313</v>
      </c>
      <c r="Q383" s="389">
        <v>166</v>
      </c>
      <c r="R383" s="430">
        <f>SUM(Q383/L383)*100</f>
        <v>32.549019607843135</v>
      </c>
      <c r="S383" s="389">
        <v>166</v>
      </c>
      <c r="T383" s="430">
        <f>SUM(S383/L383)*100</f>
        <v>32.549019607843135</v>
      </c>
      <c r="U383" s="389">
        <v>193</v>
      </c>
      <c r="V383" s="389"/>
    </row>
    <row r="384" spans="1:22" s="131" customFormat="1" ht="12.75">
      <c r="A384" s="71">
        <v>637003</v>
      </c>
      <c r="B384" s="24" t="s">
        <v>290</v>
      </c>
      <c r="C384" s="24"/>
      <c r="D384" s="24"/>
      <c r="E384" s="24"/>
      <c r="F384" s="24"/>
      <c r="G384" s="92">
        <v>223</v>
      </c>
      <c r="H384" s="91">
        <v>0</v>
      </c>
      <c r="I384" s="71">
        <v>0</v>
      </c>
      <c r="J384" s="24">
        <v>34</v>
      </c>
      <c r="K384" s="71">
        <f>100+50</f>
        <v>150</v>
      </c>
      <c r="L384" s="92">
        <f>100+50</f>
        <v>150</v>
      </c>
      <c r="M384" s="389"/>
      <c r="N384" s="430"/>
      <c r="O384" s="206"/>
      <c r="P384" s="549"/>
      <c r="Q384" s="389"/>
      <c r="R384" s="549"/>
      <c r="S384" s="389"/>
      <c r="T384" s="549"/>
      <c r="U384" s="389">
        <v>0</v>
      </c>
      <c r="V384" s="389"/>
    </row>
    <row r="385" spans="1:22" s="131" customFormat="1" ht="12.75">
      <c r="A385" s="71">
        <v>637004</v>
      </c>
      <c r="B385" s="24" t="s">
        <v>291</v>
      </c>
      <c r="C385" s="24"/>
      <c r="D385" s="24"/>
      <c r="E385" s="24"/>
      <c r="F385" s="24"/>
      <c r="G385" s="92">
        <f aca="true" t="shared" si="124" ref="G385:M385">SUM(G386:G391)</f>
        <v>712</v>
      </c>
      <c r="H385" s="91">
        <f t="shared" si="124"/>
        <v>583</v>
      </c>
      <c r="I385" s="92">
        <f t="shared" si="124"/>
        <v>683</v>
      </c>
      <c r="J385" s="91">
        <f t="shared" si="124"/>
        <v>265</v>
      </c>
      <c r="K385" s="92">
        <f t="shared" si="124"/>
        <v>620</v>
      </c>
      <c r="L385" s="92">
        <f t="shared" si="124"/>
        <v>770</v>
      </c>
      <c r="M385" s="206">
        <f t="shared" si="124"/>
        <v>114</v>
      </c>
      <c r="N385" s="430">
        <f>SUM(M385/L385)*100</f>
        <v>14.805194805194805</v>
      </c>
      <c r="O385" s="206">
        <f>SUM(O386:O391)</f>
        <v>128</v>
      </c>
      <c r="P385" s="430">
        <f>SUM(O385/L385)*100</f>
        <v>16.623376623376622</v>
      </c>
      <c r="Q385" s="206">
        <f>SUM(Q386:Q391)</f>
        <v>179</v>
      </c>
      <c r="R385" s="430">
        <f>SUM(Q385/L385)*100</f>
        <v>23.246753246753247</v>
      </c>
      <c r="S385" s="206">
        <f>SUM(S386:S391)</f>
        <v>219</v>
      </c>
      <c r="T385" s="430">
        <f>SUM(S385/L385)*100</f>
        <v>28.44155844155844</v>
      </c>
      <c r="U385" s="206">
        <f>SUM(U386:U391)</f>
        <v>226</v>
      </c>
      <c r="V385" s="389"/>
    </row>
    <row r="386" spans="1:22" s="88" customFormat="1" ht="12.75">
      <c r="A386" s="53"/>
      <c r="B386" s="203" t="s">
        <v>292</v>
      </c>
      <c r="C386" s="203"/>
      <c r="D386" s="203"/>
      <c r="E386" s="203"/>
      <c r="F386" s="203"/>
      <c r="G386" s="94">
        <v>3</v>
      </c>
      <c r="H386" s="203">
        <v>20</v>
      </c>
      <c r="I386" s="204">
        <v>20</v>
      </c>
      <c r="J386" s="203">
        <v>6</v>
      </c>
      <c r="K386" s="204">
        <v>100</v>
      </c>
      <c r="L386" s="94">
        <v>100</v>
      </c>
      <c r="M386" s="397">
        <v>0</v>
      </c>
      <c r="N386" s="434"/>
      <c r="O386" s="200">
        <v>12</v>
      </c>
      <c r="P386" s="434">
        <f>SUM(O386/L386)*100</f>
        <v>12</v>
      </c>
      <c r="Q386" s="397">
        <v>13</v>
      </c>
      <c r="R386" s="434">
        <f>SUM(Q386/L386)*100</f>
        <v>13</v>
      </c>
      <c r="S386" s="397">
        <v>13</v>
      </c>
      <c r="T386" s="563">
        <f>SUM(S386/L386)*100</f>
        <v>13</v>
      </c>
      <c r="U386" s="397">
        <v>13</v>
      </c>
      <c r="V386" s="397"/>
    </row>
    <row r="387" spans="1:22" s="88" customFormat="1" ht="12.75">
      <c r="A387" s="53"/>
      <c r="B387" s="203" t="s">
        <v>293</v>
      </c>
      <c r="C387" s="203"/>
      <c r="D387" s="203"/>
      <c r="E387" s="203"/>
      <c r="F387" s="203"/>
      <c r="G387" s="94">
        <v>10</v>
      </c>
      <c r="H387" s="201">
        <v>3</v>
      </c>
      <c r="I387" s="204">
        <v>3</v>
      </c>
      <c r="J387" s="203">
        <v>3</v>
      </c>
      <c r="K387" s="204">
        <v>10</v>
      </c>
      <c r="L387" s="94">
        <v>10</v>
      </c>
      <c r="M387" s="397">
        <v>2</v>
      </c>
      <c r="N387" s="434">
        <f>SUM(M387/L387)*100</f>
        <v>20</v>
      </c>
      <c r="O387" s="200">
        <v>2</v>
      </c>
      <c r="P387" s="434">
        <f>SUM(O387/L387)*100</f>
        <v>20</v>
      </c>
      <c r="Q387" s="397">
        <v>3</v>
      </c>
      <c r="R387" s="434">
        <f>SUM(Q387/L387)*100</f>
        <v>30</v>
      </c>
      <c r="S387" s="397">
        <v>3</v>
      </c>
      <c r="T387" s="563">
        <f>SUM(S387/L387)*100</f>
        <v>30</v>
      </c>
      <c r="U387" s="397">
        <v>3</v>
      </c>
      <c r="V387" s="397"/>
    </row>
    <row r="388" spans="1:22" s="88" customFormat="1" ht="12.75">
      <c r="A388" s="53"/>
      <c r="B388" s="203" t="s">
        <v>294</v>
      </c>
      <c r="C388" s="203"/>
      <c r="D388" s="203"/>
      <c r="E388" s="203"/>
      <c r="F388" s="203"/>
      <c r="G388" s="94">
        <v>182</v>
      </c>
      <c r="H388" s="203">
        <v>200</v>
      </c>
      <c r="I388" s="204">
        <v>200</v>
      </c>
      <c r="J388" s="203">
        <v>87</v>
      </c>
      <c r="K388" s="204">
        <v>250</v>
      </c>
      <c r="L388" s="94">
        <v>200</v>
      </c>
      <c r="M388" s="397">
        <v>60</v>
      </c>
      <c r="N388" s="434">
        <f>SUM(M388/L388)*100</f>
        <v>30</v>
      </c>
      <c r="O388" s="202">
        <v>62</v>
      </c>
      <c r="P388" s="563">
        <f>SUM(O388/L388)*100</f>
        <v>31</v>
      </c>
      <c r="Q388" s="397">
        <v>85</v>
      </c>
      <c r="R388" s="434">
        <f>SUM(Q388/L388)*100</f>
        <v>42.5</v>
      </c>
      <c r="S388" s="397">
        <v>111</v>
      </c>
      <c r="T388" s="563">
        <f>SUM(S388/L388)*100</f>
        <v>55.50000000000001</v>
      </c>
      <c r="U388" s="397">
        <v>117</v>
      </c>
      <c r="V388" s="397"/>
    </row>
    <row r="389" spans="1:22" s="88" customFormat="1" ht="12.75">
      <c r="A389" s="53"/>
      <c r="B389" s="203" t="s">
        <v>295</v>
      </c>
      <c r="C389" s="203"/>
      <c r="D389" s="203"/>
      <c r="E389" s="203"/>
      <c r="F389" s="203"/>
      <c r="G389" s="94">
        <v>141</v>
      </c>
      <c r="H389" s="201">
        <v>160</v>
      </c>
      <c r="I389" s="204">
        <v>160</v>
      </c>
      <c r="J389" s="203">
        <v>78</v>
      </c>
      <c r="K389" s="204">
        <v>160</v>
      </c>
      <c r="L389" s="94">
        <v>160</v>
      </c>
      <c r="M389" s="397">
        <v>31</v>
      </c>
      <c r="N389" s="434">
        <f>SUM(M389/L389)*100</f>
        <v>19.375</v>
      </c>
      <c r="O389" s="202">
        <v>31</v>
      </c>
      <c r="P389" s="563">
        <f>SUM(O389/L389)*100</f>
        <v>19.375</v>
      </c>
      <c r="Q389" s="397">
        <v>57</v>
      </c>
      <c r="R389" s="434">
        <f>SUM(Q389/L389)*100</f>
        <v>35.625</v>
      </c>
      <c r="S389" s="397">
        <v>71</v>
      </c>
      <c r="T389" s="563">
        <f>SUM(S389/L389)*100</f>
        <v>44.375</v>
      </c>
      <c r="U389" s="397">
        <v>71</v>
      </c>
      <c r="V389" s="397"/>
    </row>
    <row r="390" spans="1:22" s="88" customFormat="1" ht="12.75">
      <c r="A390" s="53"/>
      <c r="B390" s="203" t="s">
        <v>356</v>
      </c>
      <c r="C390" s="203"/>
      <c r="D390" s="203"/>
      <c r="E390" s="203"/>
      <c r="F390" s="203"/>
      <c r="G390" s="94">
        <v>361</v>
      </c>
      <c r="H390" s="201">
        <v>200</v>
      </c>
      <c r="I390" s="204">
        <v>200</v>
      </c>
      <c r="J390" s="203">
        <v>86</v>
      </c>
      <c r="K390" s="204">
        <v>0</v>
      </c>
      <c r="L390" s="94">
        <v>200</v>
      </c>
      <c r="M390" s="397"/>
      <c r="N390" s="434"/>
      <c r="O390" s="202"/>
      <c r="P390" s="565"/>
      <c r="Q390" s="397"/>
      <c r="R390" s="554"/>
      <c r="S390" s="397">
        <v>0</v>
      </c>
      <c r="T390" s="554"/>
      <c r="U390" s="397"/>
      <c r="V390" s="397"/>
    </row>
    <row r="391" spans="1:22" s="88" customFormat="1" ht="12.75">
      <c r="A391" s="53"/>
      <c r="B391" s="203" t="s">
        <v>357</v>
      </c>
      <c r="C391" s="203"/>
      <c r="D391" s="203"/>
      <c r="E391" s="203"/>
      <c r="F391" s="203"/>
      <c r="G391" s="94">
        <v>15</v>
      </c>
      <c r="H391" s="201">
        <v>0</v>
      </c>
      <c r="I391" s="204">
        <v>100</v>
      </c>
      <c r="J391" s="203">
        <v>5</v>
      </c>
      <c r="K391" s="204">
        <v>100</v>
      </c>
      <c r="L391" s="94">
        <v>100</v>
      </c>
      <c r="M391" s="397">
        <v>21</v>
      </c>
      <c r="N391" s="434">
        <f>SUM(M391/L391)*100</f>
        <v>21</v>
      </c>
      <c r="O391" s="202">
        <v>21</v>
      </c>
      <c r="P391" s="563">
        <f>SUM(O391/L391)*100</f>
        <v>21</v>
      </c>
      <c r="Q391" s="397">
        <v>21</v>
      </c>
      <c r="R391" s="434">
        <f>SUM(Q391/L391)*100</f>
        <v>21</v>
      </c>
      <c r="S391" s="397">
        <v>21</v>
      </c>
      <c r="T391" s="563">
        <f>SUM(S391/L391)*100</f>
        <v>21</v>
      </c>
      <c r="U391" s="397">
        <v>22</v>
      </c>
      <c r="V391" s="397"/>
    </row>
    <row r="392" spans="1:22" s="131" customFormat="1" ht="12.75">
      <c r="A392" s="71">
        <v>637005</v>
      </c>
      <c r="B392" s="24" t="s">
        <v>358</v>
      </c>
      <c r="C392" s="24"/>
      <c r="D392" s="24"/>
      <c r="E392" s="24"/>
      <c r="F392" s="24"/>
      <c r="G392" s="92">
        <f aca="true" t="shared" si="125" ref="G392:O392">SUM(G393:G398)</f>
        <v>1355</v>
      </c>
      <c r="H392" s="91">
        <f t="shared" si="125"/>
        <v>1169</v>
      </c>
      <c r="I392" s="92">
        <f t="shared" si="125"/>
        <v>1654</v>
      </c>
      <c r="J392" s="91">
        <f t="shared" si="125"/>
        <v>495</v>
      </c>
      <c r="K392" s="92">
        <f t="shared" si="125"/>
        <v>2129</v>
      </c>
      <c r="L392" s="92">
        <f>SUM(L393:L399)</f>
        <v>2199</v>
      </c>
      <c r="M392" s="206">
        <f t="shared" si="125"/>
        <v>246</v>
      </c>
      <c r="N392" s="430">
        <f>SUM(M392/L392)*100</f>
        <v>11.186903137789903</v>
      </c>
      <c r="O392" s="206">
        <f t="shared" si="125"/>
        <v>462</v>
      </c>
      <c r="P392" s="430">
        <f>SUM(O392/L392)*100</f>
        <v>21.00954979536153</v>
      </c>
      <c r="Q392" s="206">
        <f>SUM(Q393:Q398)</f>
        <v>545</v>
      </c>
      <c r="R392" s="430">
        <f>SUM(Q392/L392)*100</f>
        <v>24.78399272396544</v>
      </c>
      <c r="S392" s="206">
        <f>SUM(S393:S398)</f>
        <v>638</v>
      </c>
      <c r="T392" s="430">
        <f>SUM(S392/L392)*100</f>
        <v>29.013187812642112</v>
      </c>
      <c r="U392" s="206">
        <f>SUM(U393:U398)</f>
        <v>774</v>
      </c>
      <c r="V392" s="389"/>
    </row>
    <row r="393" spans="1:22" s="88" customFormat="1" ht="12.75">
      <c r="A393" s="53"/>
      <c r="B393" s="203" t="s">
        <v>359</v>
      </c>
      <c r="C393" s="203"/>
      <c r="D393" s="203"/>
      <c r="E393" s="203"/>
      <c r="F393" s="203"/>
      <c r="G393" s="94">
        <v>51</v>
      </c>
      <c r="H393" s="201">
        <v>50</v>
      </c>
      <c r="I393" s="204">
        <v>50</v>
      </c>
      <c r="J393" s="203">
        <v>0</v>
      </c>
      <c r="K393" s="204">
        <v>50</v>
      </c>
      <c r="L393" s="94">
        <v>50</v>
      </c>
      <c r="M393" s="562">
        <v>28</v>
      </c>
      <c r="N393" s="563">
        <f>SUM(M393/L393)*100</f>
        <v>56.00000000000001</v>
      </c>
      <c r="O393" s="200">
        <v>38</v>
      </c>
      <c r="P393" s="434">
        <f>SUM(O393/L393)*100</f>
        <v>76</v>
      </c>
      <c r="Q393" s="397">
        <v>27</v>
      </c>
      <c r="R393" s="434">
        <f>SUM(Q393/L393)*100</f>
        <v>54</v>
      </c>
      <c r="S393" s="397">
        <v>45</v>
      </c>
      <c r="T393" s="563">
        <f>SUM(S393/L393)*100</f>
        <v>90</v>
      </c>
      <c r="U393" s="397">
        <v>45</v>
      </c>
      <c r="V393" s="397"/>
    </row>
    <row r="394" spans="1:22" s="88" customFormat="1" ht="12.75">
      <c r="A394" s="53"/>
      <c r="B394" s="203" t="s">
        <v>360</v>
      </c>
      <c r="C394" s="203"/>
      <c r="D394" s="203"/>
      <c r="E394" s="203"/>
      <c r="F394" s="203"/>
      <c r="G394" s="94">
        <v>1</v>
      </c>
      <c r="H394" s="203">
        <v>20</v>
      </c>
      <c r="I394" s="204">
        <v>20</v>
      </c>
      <c r="J394" s="203">
        <v>2</v>
      </c>
      <c r="K394" s="204">
        <v>20</v>
      </c>
      <c r="L394" s="94">
        <v>20</v>
      </c>
      <c r="M394" s="562"/>
      <c r="N394" s="563"/>
      <c r="O394" s="200"/>
      <c r="P394" s="554"/>
      <c r="Q394" s="397"/>
      <c r="R394" s="554"/>
      <c r="S394" s="397">
        <v>0</v>
      </c>
      <c r="T394" s="554"/>
      <c r="U394" s="397">
        <v>0</v>
      </c>
      <c r="V394" s="397"/>
    </row>
    <row r="395" spans="1:22" s="88" customFormat="1" ht="12.75">
      <c r="A395" s="53"/>
      <c r="B395" s="203" t="s">
        <v>361</v>
      </c>
      <c r="C395" s="203"/>
      <c r="D395" s="203"/>
      <c r="E395" s="203"/>
      <c r="F395" s="203"/>
      <c r="G395" s="94">
        <v>247</v>
      </c>
      <c r="H395" s="203">
        <f>760+60-580</f>
        <v>240</v>
      </c>
      <c r="I395" s="204">
        <v>240</v>
      </c>
      <c r="J395" s="203">
        <v>76</v>
      </c>
      <c r="K395" s="204">
        <v>300</v>
      </c>
      <c r="L395" s="94">
        <v>300</v>
      </c>
      <c r="M395" s="562"/>
      <c r="N395" s="563"/>
      <c r="O395" s="200">
        <v>117</v>
      </c>
      <c r="P395" s="434">
        <f>SUM(O395/L395)*100</f>
        <v>39</v>
      </c>
      <c r="Q395" s="397">
        <v>136</v>
      </c>
      <c r="R395" s="434">
        <f>SUM(Q395/L395)*100</f>
        <v>45.33333333333333</v>
      </c>
      <c r="S395" s="397">
        <v>166</v>
      </c>
      <c r="T395" s="434">
        <f>SUM(S395/L395)*100</f>
        <v>55.333333333333336</v>
      </c>
      <c r="U395" s="397">
        <v>166</v>
      </c>
      <c r="V395" s="397"/>
    </row>
    <row r="396" spans="1:22" s="88" customFormat="1" ht="12.75">
      <c r="A396" s="53"/>
      <c r="B396" s="203" t="s">
        <v>362</v>
      </c>
      <c r="C396" s="203"/>
      <c r="D396" s="203"/>
      <c r="E396" s="203"/>
      <c r="F396" s="203"/>
      <c r="G396" s="94">
        <v>24</v>
      </c>
      <c r="H396" s="201">
        <v>100</v>
      </c>
      <c r="I396" s="204">
        <v>100</v>
      </c>
      <c r="J396" s="203">
        <v>24</v>
      </c>
      <c r="K396" s="204">
        <v>100</v>
      </c>
      <c r="L396" s="94">
        <v>100</v>
      </c>
      <c r="M396" s="562"/>
      <c r="N396" s="563"/>
      <c r="O396" s="200"/>
      <c r="P396" s="554"/>
      <c r="Q396" s="397"/>
      <c r="R396" s="554"/>
      <c r="S396" s="397">
        <v>0</v>
      </c>
      <c r="T396" s="554"/>
      <c r="U396" s="397">
        <v>0</v>
      </c>
      <c r="V396" s="397"/>
    </row>
    <row r="397" spans="1:22" s="88" customFormat="1" ht="12.75">
      <c r="A397" s="53"/>
      <c r="B397" s="203" t="s">
        <v>363</v>
      </c>
      <c r="C397" s="203"/>
      <c r="D397" s="203"/>
      <c r="E397" s="203"/>
      <c r="F397" s="203"/>
      <c r="G397" s="94">
        <v>242</v>
      </c>
      <c r="H397" s="201">
        <v>259</v>
      </c>
      <c r="I397" s="204">
        <v>259</v>
      </c>
      <c r="J397" s="203">
        <v>105</v>
      </c>
      <c r="K397" s="204">
        <v>259</v>
      </c>
      <c r="L397" s="94">
        <v>259</v>
      </c>
      <c r="M397" s="562">
        <v>60</v>
      </c>
      <c r="N397" s="563">
        <f>SUM(M397/L397)*100</f>
        <v>23.166023166023166</v>
      </c>
      <c r="O397" s="200">
        <v>90</v>
      </c>
      <c r="P397" s="434">
        <f>SUM(O397/L397)*100</f>
        <v>34.74903474903475</v>
      </c>
      <c r="Q397" s="397">
        <v>110</v>
      </c>
      <c r="R397" s="434">
        <f>SUM(Q397/L397)*100</f>
        <v>42.471042471042466</v>
      </c>
      <c r="S397" s="397">
        <v>130</v>
      </c>
      <c r="T397" s="434">
        <f>SUM(S397/L397)*100</f>
        <v>50.19305019305019</v>
      </c>
      <c r="U397" s="397">
        <v>150</v>
      </c>
      <c r="V397" s="397"/>
    </row>
    <row r="398" spans="1:22" s="88" customFormat="1" ht="12.75">
      <c r="A398" s="53"/>
      <c r="B398" s="203" t="s">
        <v>364</v>
      </c>
      <c r="C398" s="203"/>
      <c r="D398" s="203"/>
      <c r="E398" s="203"/>
      <c r="F398" s="203"/>
      <c r="G398" s="94">
        <v>790</v>
      </c>
      <c r="H398" s="201">
        <v>500</v>
      </c>
      <c r="I398" s="204">
        <f>600+385</f>
        <v>985</v>
      </c>
      <c r="J398" s="203">
        <v>288</v>
      </c>
      <c r="K398" s="94">
        <f>1000+400</f>
        <v>1400</v>
      </c>
      <c r="L398" s="94">
        <v>1460</v>
      </c>
      <c r="M398" s="562">
        <v>158</v>
      </c>
      <c r="N398" s="563">
        <f>SUM(M398/L398)*100</f>
        <v>10.821917808219178</v>
      </c>
      <c r="O398" s="200">
        <v>217</v>
      </c>
      <c r="P398" s="434">
        <f>SUM(O398/L398)*100</f>
        <v>14.863013698630137</v>
      </c>
      <c r="Q398" s="397">
        <v>272</v>
      </c>
      <c r="R398" s="434">
        <f>SUM(Q398/L398)*100</f>
        <v>18.63013698630137</v>
      </c>
      <c r="S398" s="397">
        <v>297</v>
      </c>
      <c r="T398" s="434">
        <f>SUM(S398/L398)*100</f>
        <v>20.34246575342466</v>
      </c>
      <c r="U398" s="397">
        <v>413</v>
      </c>
      <c r="V398" s="397"/>
    </row>
    <row r="399" spans="1:22" s="88" customFormat="1" ht="13.5" thickBot="1">
      <c r="A399" s="53"/>
      <c r="B399" s="203" t="s">
        <v>696</v>
      </c>
      <c r="C399" s="203"/>
      <c r="D399" s="203"/>
      <c r="E399" s="203"/>
      <c r="F399" s="203"/>
      <c r="G399" s="94"/>
      <c r="H399" s="201"/>
      <c r="I399" s="204"/>
      <c r="J399" s="203"/>
      <c r="K399" s="94"/>
      <c r="L399" s="94">
        <v>10</v>
      </c>
      <c r="M399" s="562"/>
      <c r="N399" s="563"/>
      <c r="O399" s="200"/>
      <c r="P399" s="554"/>
      <c r="Q399" s="397"/>
      <c r="R399" s="554"/>
      <c r="S399" s="713">
        <v>0</v>
      </c>
      <c r="T399" s="636"/>
      <c r="U399" s="397"/>
      <c r="V399" s="397"/>
    </row>
    <row r="400" spans="1:14" ht="12.75">
      <c r="A400" s="500"/>
      <c r="B400" s="500"/>
      <c r="C400" s="500"/>
      <c r="D400" s="4"/>
      <c r="E400" s="4"/>
      <c r="F400" s="4"/>
      <c r="G400" s="30"/>
      <c r="H400" s="419"/>
      <c r="I400" s="6"/>
      <c r="J400" s="4"/>
      <c r="K400" s="3"/>
      <c r="L400" s="419"/>
      <c r="M400" s="419"/>
      <c r="N400" s="490"/>
    </row>
    <row r="401" spans="1:14" ht="13.5" thickBot="1">
      <c r="A401" s="55"/>
      <c r="B401" s="55"/>
      <c r="C401" s="55"/>
      <c r="D401" s="12"/>
      <c r="E401" s="12"/>
      <c r="F401" s="12"/>
      <c r="G401" s="26"/>
      <c r="H401" s="52"/>
      <c r="I401" s="14"/>
      <c r="J401" s="12"/>
      <c r="K401" s="11"/>
      <c r="L401" s="52"/>
      <c r="N401" s="428"/>
    </row>
    <row r="402" spans="1:22" ht="13.5" thickBot="1">
      <c r="A402" s="177" t="s">
        <v>44</v>
      </c>
      <c r="B402" s="178"/>
      <c r="C402" s="178"/>
      <c r="D402" s="179"/>
      <c r="E402" s="179"/>
      <c r="F402" s="179"/>
      <c r="G402" s="15" t="s">
        <v>23</v>
      </c>
      <c r="H402" s="136"/>
      <c r="I402" s="137" t="s">
        <v>155</v>
      </c>
      <c r="J402" s="138" t="s">
        <v>156</v>
      </c>
      <c r="K402" s="10" t="s">
        <v>25</v>
      </c>
      <c r="L402" s="238" t="s">
        <v>645</v>
      </c>
      <c r="M402" s="403" t="s">
        <v>296</v>
      </c>
      <c r="N402" s="421" t="s">
        <v>683</v>
      </c>
      <c r="O402" s="403" t="s">
        <v>296</v>
      </c>
      <c r="P402" s="426" t="s">
        <v>683</v>
      </c>
      <c r="Q402" s="415" t="s">
        <v>296</v>
      </c>
      <c r="R402" s="426" t="s">
        <v>681</v>
      </c>
      <c r="S402" s="415" t="s">
        <v>296</v>
      </c>
      <c r="T402" s="426" t="s">
        <v>681</v>
      </c>
      <c r="U402" s="415" t="s">
        <v>296</v>
      </c>
      <c r="V402" s="785" t="s">
        <v>681</v>
      </c>
    </row>
    <row r="403" spans="1:22" ht="16.5" thickTop="1">
      <c r="A403" s="180" t="s">
        <v>159</v>
      </c>
      <c r="B403" s="181" t="s">
        <v>160</v>
      </c>
      <c r="C403" s="182"/>
      <c r="D403" s="12"/>
      <c r="E403" s="12"/>
      <c r="F403" s="12"/>
      <c r="G403" s="11" t="s">
        <v>45</v>
      </c>
      <c r="H403" s="32" t="s">
        <v>27</v>
      </c>
      <c r="I403" s="6" t="s">
        <v>92</v>
      </c>
      <c r="J403" s="108" t="s">
        <v>29</v>
      </c>
      <c r="K403" s="33" t="s">
        <v>46</v>
      </c>
      <c r="L403" s="208"/>
      <c r="M403" s="25" t="s">
        <v>297</v>
      </c>
      <c r="N403" s="422"/>
      <c r="O403" s="25" t="s">
        <v>750</v>
      </c>
      <c r="P403" s="547"/>
      <c r="Q403" s="416" t="s">
        <v>896</v>
      </c>
      <c r="R403" s="547"/>
      <c r="S403" s="416" t="s">
        <v>957</v>
      </c>
      <c r="T403" s="547"/>
      <c r="U403" s="416" t="s">
        <v>252</v>
      </c>
      <c r="V403" s="786"/>
    </row>
    <row r="404" spans="1:20" ht="13.5" thickBot="1">
      <c r="A404" s="183"/>
      <c r="B404" s="184"/>
      <c r="C404" s="185"/>
      <c r="D404" s="37"/>
      <c r="E404" s="37"/>
      <c r="F404" s="37"/>
      <c r="G404" s="83"/>
      <c r="H404" s="84">
        <v>38335</v>
      </c>
      <c r="I404" s="148">
        <v>38587</v>
      </c>
      <c r="J404" s="110" t="s">
        <v>31</v>
      </c>
      <c r="K404" s="33" t="s">
        <v>32</v>
      </c>
      <c r="L404" s="242"/>
      <c r="M404" s="404"/>
      <c r="N404" s="423"/>
      <c r="O404" s="404"/>
      <c r="P404" s="548"/>
      <c r="Q404" s="411"/>
      <c r="R404" s="548"/>
      <c r="S404" s="411"/>
      <c r="T404" s="548"/>
    </row>
    <row r="405" spans="1:20" ht="13.5" thickBot="1">
      <c r="A405" s="186" t="s">
        <v>47</v>
      </c>
      <c r="B405" s="187"/>
      <c r="C405" s="39"/>
      <c r="D405" s="188" t="s">
        <v>48</v>
      </c>
      <c r="E405" s="19"/>
      <c r="F405" s="19"/>
      <c r="G405" s="152">
        <v>1</v>
      </c>
      <c r="H405" s="41">
        <v>2</v>
      </c>
      <c r="I405" s="22">
        <v>3</v>
      </c>
      <c r="J405" s="22">
        <v>4</v>
      </c>
      <c r="K405" s="40">
        <v>1</v>
      </c>
      <c r="L405" s="599">
        <v>1</v>
      </c>
      <c r="M405" s="409"/>
      <c r="N405" s="424"/>
      <c r="P405" s="547"/>
      <c r="R405" s="551"/>
      <c r="T405" s="556"/>
    </row>
    <row r="406" spans="1:22" s="131" customFormat="1" ht="12.75">
      <c r="A406" s="566">
        <v>637011</v>
      </c>
      <c r="B406" s="168" t="s">
        <v>642</v>
      </c>
      <c r="C406" s="168"/>
      <c r="D406" s="168"/>
      <c r="E406" s="168"/>
      <c r="F406" s="168"/>
      <c r="G406" s="521"/>
      <c r="H406" s="489"/>
      <c r="I406" s="566"/>
      <c r="J406" s="168"/>
      <c r="K406" s="566"/>
      <c r="L406" s="521">
        <f>SUM(L407:L411)</f>
        <v>2000</v>
      </c>
      <c r="M406" s="522">
        <f>SUM(M407:M411)</f>
        <v>194</v>
      </c>
      <c r="N406" s="525">
        <f>SUM(M406/L406)*100</f>
        <v>9.700000000000001</v>
      </c>
      <c r="O406" s="522">
        <f>SUM(O407:O411)</f>
        <v>383</v>
      </c>
      <c r="P406" s="525">
        <f>SUM(O406/L406)*100</f>
        <v>19.15</v>
      </c>
      <c r="Q406" s="522">
        <f>SUM(Q407:Q411)</f>
        <v>434</v>
      </c>
      <c r="R406" s="430">
        <f>SUM(Q406/L406)*100</f>
        <v>21.7</v>
      </c>
      <c r="S406" s="522">
        <f>SUM(S407:S411)</f>
        <v>457</v>
      </c>
      <c r="T406" s="525">
        <f>SUM(S406/L406)*100</f>
        <v>22.85</v>
      </c>
      <c r="U406" s="522">
        <f>SUM(U407:U411)</f>
        <v>477</v>
      </c>
      <c r="V406" s="389"/>
    </row>
    <row r="407" spans="1:22" s="564" customFormat="1" ht="12">
      <c r="A407" s="204"/>
      <c r="B407" s="203" t="s">
        <v>365</v>
      </c>
      <c r="C407" s="203"/>
      <c r="D407" s="70"/>
      <c r="E407" s="70"/>
      <c r="F407" s="70"/>
      <c r="G407" s="60">
        <v>134</v>
      </c>
      <c r="H407" s="59">
        <v>50</v>
      </c>
      <c r="I407" s="67">
        <v>50</v>
      </c>
      <c r="J407" s="70">
        <v>23</v>
      </c>
      <c r="K407" s="67">
        <v>50</v>
      </c>
      <c r="L407" s="94">
        <v>200</v>
      </c>
      <c r="M407" s="562">
        <v>149</v>
      </c>
      <c r="N407" s="563">
        <f>SUM(M407/L407)*100</f>
        <v>74.5</v>
      </c>
      <c r="O407" s="562">
        <v>149</v>
      </c>
      <c r="P407" s="563">
        <f>SUM(O407/N407)*100</f>
        <v>200</v>
      </c>
      <c r="Q407" s="562">
        <v>196</v>
      </c>
      <c r="R407" s="563">
        <f>SUM(Q407/L407)*100</f>
        <v>98</v>
      </c>
      <c r="S407" s="562">
        <v>219</v>
      </c>
      <c r="T407" s="563">
        <f>SUM(S407/L407)*100</f>
        <v>109.5</v>
      </c>
      <c r="U407" s="398">
        <v>239</v>
      </c>
      <c r="V407" s="398"/>
    </row>
    <row r="408" spans="1:22" s="564" customFormat="1" ht="12">
      <c r="A408" s="204"/>
      <c r="B408" s="203" t="s">
        <v>366</v>
      </c>
      <c r="C408" s="203"/>
      <c r="D408" s="70"/>
      <c r="E408" s="70"/>
      <c r="F408" s="70"/>
      <c r="G408" s="60">
        <v>0</v>
      </c>
      <c r="H408" s="59">
        <v>580</v>
      </c>
      <c r="I408" s="67">
        <v>580</v>
      </c>
      <c r="J408" s="70">
        <v>0</v>
      </c>
      <c r="K408" s="67">
        <v>580</v>
      </c>
      <c r="L408" s="94">
        <v>580</v>
      </c>
      <c r="M408" s="562">
        <v>45</v>
      </c>
      <c r="N408" s="563">
        <f>SUM(M408/L408)*100</f>
        <v>7.758620689655173</v>
      </c>
      <c r="O408" s="562">
        <v>45</v>
      </c>
      <c r="P408" s="563">
        <f>SUM(O408/N408)*100</f>
        <v>580</v>
      </c>
      <c r="Q408" s="562">
        <v>45</v>
      </c>
      <c r="R408" s="563">
        <f>SUM(Q408/L408)*100</f>
        <v>7.758620689655173</v>
      </c>
      <c r="S408" s="562">
        <v>45</v>
      </c>
      <c r="T408" s="563">
        <f>SUM(S408/L408)*100</f>
        <v>7.758620689655173</v>
      </c>
      <c r="U408" s="398">
        <v>45</v>
      </c>
      <c r="V408" s="398"/>
    </row>
    <row r="409" spans="1:22" s="564" customFormat="1" ht="12">
      <c r="A409" s="204"/>
      <c r="B409" s="203" t="s">
        <v>367</v>
      </c>
      <c r="C409" s="203"/>
      <c r="D409" s="70"/>
      <c r="E409" s="70"/>
      <c r="F409" s="70"/>
      <c r="G409" s="60">
        <v>14</v>
      </c>
      <c r="H409" s="70">
        <v>20</v>
      </c>
      <c r="I409" s="67">
        <v>20</v>
      </c>
      <c r="J409" s="70">
        <v>9</v>
      </c>
      <c r="K409" s="67">
        <v>20</v>
      </c>
      <c r="L409" s="94">
        <v>20</v>
      </c>
      <c r="M409" s="562"/>
      <c r="N409" s="563"/>
      <c r="O409" s="562"/>
      <c r="P409" s="565"/>
      <c r="Q409" s="562">
        <v>4</v>
      </c>
      <c r="R409" s="563">
        <f>SUM(Q409/L409)*100</f>
        <v>20</v>
      </c>
      <c r="S409" s="562">
        <v>4</v>
      </c>
      <c r="T409" s="563">
        <f>SUM(S409/L409)*100</f>
        <v>20</v>
      </c>
      <c r="U409" s="398">
        <v>4</v>
      </c>
      <c r="V409" s="398"/>
    </row>
    <row r="410" spans="1:22" s="564" customFormat="1" ht="12">
      <c r="A410" s="204"/>
      <c r="B410" s="203" t="s">
        <v>697</v>
      </c>
      <c r="C410" s="203"/>
      <c r="D410" s="70"/>
      <c r="E410" s="70"/>
      <c r="F410" s="70"/>
      <c r="G410" s="60"/>
      <c r="H410" s="70"/>
      <c r="I410" s="67"/>
      <c r="J410" s="70"/>
      <c r="K410" s="67"/>
      <c r="L410" s="94">
        <v>500</v>
      </c>
      <c r="M410" s="562"/>
      <c r="N410" s="563"/>
      <c r="O410" s="562"/>
      <c r="P410" s="565"/>
      <c r="Q410" s="562"/>
      <c r="R410" s="565"/>
      <c r="S410" s="562">
        <v>0</v>
      </c>
      <c r="T410" s="569"/>
      <c r="U410" s="398"/>
      <c r="V410" s="398"/>
    </row>
    <row r="411" spans="1:22" s="564" customFormat="1" ht="12">
      <c r="A411" s="204"/>
      <c r="B411" s="203" t="s">
        <v>643</v>
      </c>
      <c r="C411" s="203"/>
      <c r="D411" s="70"/>
      <c r="E411" s="70"/>
      <c r="F411" s="70"/>
      <c r="G411" s="60">
        <v>16</v>
      </c>
      <c r="H411" s="59">
        <v>0</v>
      </c>
      <c r="I411" s="67">
        <v>0</v>
      </c>
      <c r="J411" s="70">
        <v>0</v>
      </c>
      <c r="K411" s="67">
        <v>0</v>
      </c>
      <c r="L411" s="94">
        <v>700</v>
      </c>
      <c r="M411" s="562"/>
      <c r="N411" s="563"/>
      <c r="O411" s="562">
        <v>189</v>
      </c>
      <c r="P411" s="563">
        <f>SUM(O411/L411)*100</f>
        <v>27</v>
      </c>
      <c r="Q411" s="562">
        <v>189</v>
      </c>
      <c r="R411" s="563">
        <f aca="true" t="shared" si="126" ref="R411:R416">SUM(Q411/L411)*100</f>
        <v>27</v>
      </c>
      <c r="S411" s="562">
        <v>189</v>
      </c>
      <c r="T411" s="563">
        <f aca="true" t="shared" si="127" ref="T411:T416">SUM(S411/L411)*100</f>
        <v>27</v>
      </c>
      <c r="U411" s="562">
        <v>189</v>
      </c>
      <c r="V411" s="562"/>
    </row>
    <row r="412" spans="1:22" s="131" customFormat="1" ht="12.75">
      <c r="A412" s="71">
        <v>637012</v>
      </c>
      <c r="B412" s="24" t="s">
        <v>368</v>
      </c>
      <c r="C412" s="24"/>
      <c r="D412" s="24"/>
      <c r="E412" s="24"/>
      <c r="F412" s="24"/>
      <c r="G412" s="92">
        <v>1264</v>
      </c>
      <c r="H412" s="91">
        <v>500</v>
      </c>
      <c r="I412" s="71">
        <v>500</v>
      </c>
      <c r="J412" s="24">
        <v>254</v>
      </c>
      <c r="K412" s="71">
        <v>500</v>
      </c>
      <c r="L412" s="92">
        <f>SUM(L413:L417)</f>
        <v>6405</v>
      </c>
      <c r="M412" s="206">
        <f>SUM(M413:M416)</f>
        <v>177</v>
      </c>
      <c r="N412" s="430">
        <f>SUM(M412/L412)*100</f>
        <v>2.7634660421545667</v>
      </c>
      <c r="O412" s="206">
        <f>SUM(O413:O417)</f>
        <v>5430</v>
      </c>
      <c r="P412" s="430">
        <f>SUM(O412/L412)*100</f>
        <v>84.77751756440281</v>
      </c>
      <c r="Q412" s="206">
        <f>SUM(Q413:Q417)</f>
        <v>5529</v>
      </c>
      <c r="R412" s="430">
        <f t="shared" si="126"/>
        <v>86.3231850117096</v>
      </c>
      <c r="S412" s="206">
        <f>SUM(S413:S417)</f>
        <v>5691</v>
      </c>
      <c r="T412" s="430">
        <f t="shared" si="127"/>
        <v>88.85245901639345</v>
      </c>
      <c r="U412" s="206">
        <f>SUM(U413:U417)</f>
        <v>5702</v>
      </c>
      <c r="V412" s="389"/>
    </row>
    <row r="413" spans="1:21" ht="12.75">
      <c r="A413" s="204"/>
      <c r="B413" s="203" t="s">
        <v>644</v>
      </c>
      <c r="C413" s="203"/>
      <c r="D413" s="70"/>
      <c r="E413" s="70"/>
      <c r="F413" s="70"/>
      <c r="G413" s="26"/>
      <c r="H413" s="52"/>
      <c r="I413" s="14"/>
      <c r="J413" s="12"/>
      <c r="K413" s="14"/>
      <c r="L413" s="94">
        <v>500</v>
      </c>
      <c r="M413" s="562">
        <v>176</v>
      </c>
      <c r="N413" s="563">
        <f>SUM(M413/L413)*100</f>
        <v>35.199999999999996</v>
      </c>
      <c r="O413" s="562">
        <v>227</v>
      </c>
      <c r="P413" s="563">
        <f>SUM(O413/L413)*100</f>
        <v>45.4</v>
      </c>
      <c r="Q413" s="562">
        <v>286</v>
      </c>
      <c r="R413" s="563">
        <f t="shared" si="126"/>
        <v>57.199999999999996</v>
      </c>
      <c r="S413" s="562">
        <v>335</v>
      </c>
      <c r="T413" s="563">
        <f t="shared" si="127"/>
        <v>67</v>
      </c>
      <c r="U413" s="562">
        <v>346</v>
      </c>
    </row>
    <row r="414" spans="1:22" ht="12.75">
      <c r="A414" s="204"/>
      <c r="B414" s="203" t="s">
        <v>369</v>
      </c>
      <c r="C414" s="203"/>
      <c r="D414" s="70"/>
      <c r="E414" s="70"/>
      <c r="F414" s="70"/>
      <c r="G414" s="26">
        <f>5357+220+982+35+1</f>
        <v>6595</v>
      </c>
      <c r="H414" s="12">
        <v>426</v>
      </c>
      <c r="I414" s="14">
        <v>396</v>
      </c>
      <c r="J414" s="12">
        <f>414+64</f>
        <v>478</v>
      </c>
      <c r="K414" s="14">
        <v>400</v>
      </c>
      <c r="L414" s="94">
        <v>400</v>
      </c>
      <c r="M414" s="562"/>
      <c r="N414" s="563"/>
      <c r="O414" s="562"/>
      <c r="P414" s="565"/>
      <c r="Q414" s="562">
        <v>21</v>
      </c>
      <c r="R414" s="563">
        <f t="shared" si="126"/>
        <v>5.25</v>
      </c>
      <c r="S414" s="562">
        <v>133</v>
      </c>
      <c r="T414" s="563">
        <f t="shared" si="127"/>
        <v>33.25</v>
      </c>
      <c r="U414" s="562">
        <v>133</v>
      </c>
      <c r="V414" s="562"/>
    </row>
    <row r="415" spans="1:22" ht="12.75">
      <c r="A415" s="204"/>
      <c r="B415" s="203" t="s">
        <v>370</v>
      </c>
      <c r="C415" s="203"/>
      <c r="D415" s="70"/>
      <c r="E415" s="70"/>
      <c r="F415" s="70"/>
      <c r="G415" s="26">
        <v>97</v>
      </c>
      <c r="H415" s="52">
        <v>300</v>
      </c>
      <c r="I415" s="14">
        <v>300</v>
      </c>
      <c r="J415" s="12">
        <v>181</v>
      </c>
      <c r="K415" s="14">
        <v>300</v>
      </c>
      <c r="L415" s="94">
        <v>300</v>
      </c>
      <c r="M415" s="562">
        <v>1</v>
      </c>
      <c r="N415" s="563">
        <f>SUM(M415/L415)*100</f>
        <v>0.33333333333333337</v>
      </c>
      <c r="O415" s="562">
        <v>28</v>
      </c>
      <c r="P415" s="563">
        <f>SUM(O415/L415)*100</f>
        <v>9.333333333333334</v>
      </c>
      <c r="Q415" s="562">
        <v>28</v>
      </c>
      <c r="R415" s="563">
        <f t="shared" si="126"/>
        <v>9.333333333333334</v>
      </c>
      <c r="S415" s="562">
        <v>29</v>
      </c>
      <c r="T415" s="563">
        <f t="shared" si="127"/>
        <v>9.666666666666666</v>
      </c>
      <c r="U415" s="562">
        <v>29</v>
      </c>
      <c r="V415" s="562"/>
    </row>
    <row r="416" spans="1:22" ht="12.75">
      <c r="A416" s="204"/>
      <c r="B416" s="203" t="s">
        <v>371</v>
      </c>
      <c r="C416" s="203"/>
      <c r="D416" s="70"/>
      <c r="E416" s="70"/>
      <c r="F416" s="70"/>
      <c r="G416" s="26">
        <v>8</v>
      </c>
      <c r="H416" s="52">
        <v>30</v>
      </c>
      <c r="I416" s="14">
        <v>30</v>
      </c>
      <c r="J416" s="12">
        <v>3</v>
      </c>
      <c r="K416" s="14">
        <v>30</v>
      </c>
      <c r="L416" s="94">
        <v>30</v>
      </c>
      <c r="M416" s="562"/>
      <c r="N416" s="563"/>
      <c r="O416" s="562">
        <v>0</v>
      </c>
      <c r="P416" s="565"/>
      <c r="Q416" s="562">
        <v>19</v>
      </c>
      <c r="R416" s="563">
        <f t="shared" si="126"/>
        <v>63.33333333333333</v>
      </c>
      <c r="S416" s="562">
        <v>19</v>
      </c>
      <c r="T416" s="563">
        <f t="shared" si="127"/>
        <v>63.33333333333333</v>
      </c>
      <c r="U416" s="562">
        <v>19</v>
      </c>
      <c r="V416" s="562"/>
    </row>
    <row r="417" spans="1:22" ht="12.75">
      <c r="A417" s="204"/>
      <c r="B417" s="203" t="s">
        <v>698</v>
      </c>
      <c r="C417" s="203"/>
      <c r="D417" s="70"/>
      <c r="E417" s="70"/>
      <c r="F417" s="70"/>
      <c r="G417" s="26"/>
      <c r="H417" s="52"/>
      <c r="I417" s="14"/>
      <c r="J417" s="12"/>
      <c r="K417" s="14"/>
      <c r="L417" s="94">
        <v>5175</v>
      </c>
      <c r="M417" s="562"/>
      <c r="N417" s="563"/>
      <c r="O417" s="562">
        <v>5175</v>
      </c>
      <c r="P417" s="563">
        <f aca="true" t="shared" si="128" ref="P417:P422">SUM(O417/L417)*100</f>
        <v>100</v>
      </c>
      <c r="Q417" s="562">
        <v>5175</v>
      </c>
      <c r="R417" s="563">
        <f aca="true" t="shared" si="129" ref="R417:R422">SUM(Q417/L417)*100</f>
        <v>100</v>
      </c>
      <c r="S417" s="562">
        <v>5175</v>
      </c>
      <c r="T417" s="563">
        <f aca="true" t="shared" si="130" ref="T417:T422">SUM(S417/L417)*100</f>
        <v>100</v>
      </c>
      <c r="U417" s="562">
        <v>5175</v>
      </c>
      <c r="V417" s="562"/>
    </row>
    <row r="418" spans="1:22" s="131" customFormat="1" ht="12.75">
      <c r="A418" s="71">
        <v>637013</v>
      </c>
      <c r="B418" s="24" t="s">
        <v>372</v>
      </c>
      <c r="C418" s="24"/>
      <c r="D418" s="24"/>
      <c r="E418" s="24"/>
      <c r="F418" s="24"/>
      <c r="G418" s="92">
        <v>80</v>
      </c>
      <c r="H418" s="91">
        <v>120</v>
      </c>
      <c r="I418" s="71">
        <v>120</v>
      </c>
      <c r="J418" s="24">
        <v>113</v>
      </c>
      <c r="K418" s="71">
        <v>140</v>
      </c>
      <c r="L418" s="92">
        <v>140</v>
      </c>
      <c r="M418" s="389">
        <v>132</v>
      </c>
      <c r="N418" s="430">
        <f aca="true" t="shared" si="131" ref="N418:N424">SUM(M418/L418)*100</f>
        <v>94.28571428571428</v>
      </c>
      <c r="O418" s="389">
        <v>132</v>
      </c>
      <c r="P418" s="430">
        <f t="shared" si="128"/>
        <v>94.28571428571428</v>
      </c>
      <c r="Q418" s="389">
        <v>132</v>
      </c>
      <c r="R418" s="430">
        <f t="shared" si="129"/>
        <v>94.28571428571428</v>
      </c>
      <c r="S418" s="389">
        <v>102</v>
      </c>
      <c r="T418" s="430">
        <f t="shared" si="130"/>
        <v>72.85714285714285</v>
      </c>
      <c r="U418" s="389">
        <v>102</v>
      </c>
      <c r="V418" s="389"/>
    </row>
    <row r="419" spans="1:22" s="131" customFormat="1" ht="12.75">
      <c r="A419" s="71">
        <v>637014</v>
      </c>
      <c r="B419" s="24" t="s">
        <v>373</v>
      </c>
      <c r="C419" s="24"/>
      <c r="D419" s="24"/>
      <c r="E419" s="24"/>
      <c r="F419" s="24"/>
      <c r="G419" s="92">
        <v>1665</v>
      </c>
      <c r="H419" s="91">
        <v>1750</v>
      </c>
      <c r="I419" s="92">
        <v>1750</v>
      </c>
      <c r="J419" s="91">
        <v>908</v>
      </c>
      <c r="K419" s="92">
        <v>1700</v>
      </c>
      <c r="L419" s="92">
        <v>1954</v>
      </c>
      <c r="M419" s="389">
        <v>205</v>
      </c>
      <c r="N419" s="430">
        <f t="shared" si="131"/>
        <v>10.491299897645854</v>
      </c>
      <c r="O419" s="389">
        <v>752</v>
      </c>
      <c r="P419" s="430">
        <f t="shared" si="128"/>
        <v>38.485158648925285</v>
      </c>
      <c r="Q419" s="389">
        <v>1258</v>
      </c>
      <c r="R419" s="430">
        <f t="shared" si="129"/>
        <v>64.38075742067554</v>
      </c>
      <c r="S419" s="389">
        <v>1031</v>
      </c>
      <c r="T419" s="430">
        <f t="shared" si="130"/>
        <v>52.76356192425793</v>
      </c>
      <c r="U419" s="389">
        <v>1258</v>
      </c>
      <c r="V419" s="389"/>
    </row>
    <row r="420" spans="1:22" s="131" customFormat="1" ht="12.75">
      <c r="A420" s="71">
        <v>637015</v>
      </c>
      <c r="B420" s="24" t="s">
        <v>374</v>
      </c>
      <c r="C420" s="24"/>
      <c r="D420" s="24"/>
      <c r="E420" s="24"/>
      <c r="F420" s="24"/>
      <c r="G420" s="92">
        <v>217</v>
      </c>
      <c r="H420" s="91">
        <v>215</v>
      </c>
      <c r="I420" s="71">
        <v>280</v>
      </c>
      <c r="J420" s="24">
        <v>224</v>
      </c>
      <c r="K420" s="71">
        <v>302</v>
      </c>
      <c r="L420" s="92">
        <v>302</v>
      </c>
      <c r="M420" s="389">
        <v>135</v>
      </c>
      <c r="N420" s="430">
        <f t="shared" si="131"/>
        <v>44.70198675496689</v>
      </c>
      <c r="O420" s="389">
        <v>135</v>
      </c>
      <c r="P420" s="430">
        <f t="shared" si="128"/>
        <v>44.70198675496689</v>
      </c>
      <c r="Q420" s="389">
        <v>261</v>
      </c>
      <c r="R420" s="430">
        <f t="shared" si="129"/>
        <v>86.42384105960265</v>
      </c>
      <c r="S420" s="389">
        <v>261</v>
      </c>
      <c r="T420" s="430">
        <f t="shared" si="130"/>
        <v>86.42384105960265</v>
      </c>
      <c r="U420" s="389">
        <v>261</v>
      </c>
      <c r="V420" s="389"/>
    </row>
    <row r="421" spans="1:22" s="131" customFormat="1" ht="12.75">
      <c r="A421" s="71">
        <v>637016</v>
      </c>
      <c r="B421" s="24" t="s">
        <v>375</v>
      </c>
      <c r="C421" s="24"/>
      <c r="D421" s="24"/>
      <c r="E421" s="24"/>
      <c r="F421" s="24"/>
      <c r="G421" s="92">
        <v>327</v>
      </c>
      <c r="H421" s="91">
        <v>436</v>
      </c>
      <c r="I421" s="71">
        <v>436</v>
      </c>
      <c r="J421" s="24">
        <v>118</v>
      </c>
      <c r="K421" s="71">
        <v>481</v>
      </c>
      <c r="L421" s="92">
        <v>489</v>
      </c>
      <c r="M421" s="389">
        <v>69</v>
      </c>
      <c r="N421" s="430">
        <f t="shared" si="131"/>
        <v>14.11042944785276</v>
      </c>
      <c r="O421" s="389">
        <v>101</v>
      </c>
      <c r="P421" s="430">
        <f t="shared" si="128"/>
        <v>20.654396728016362</v>
      </c>
      <c r="Q421" s="389">
        <v>158</v>
      </c>
      <c r="R421" s="430">
        <f t="shared" si="129"/>
        <v>32.31083844580777</v>
      </c>
      <c r="S421" s="389">
        <v>158</v>
      </c>
      <c r="T421" s="430">
        <f t="shared" si="130"/>
        <v>32.31083844580777</v>
      </c>
      <c r="U421" s="389">
        <v>200</v>
      </c>
      <c r="V421" s="389"/>
    </row>
    <row r="422" spans="1:22" s="131" customFormat="1" ht="12.75">
      <c r="A422" s="71">
        <v>637018</v>
      </c>
      <c r="B422" s="24" t="s">
        <v>376</v>
      </c>
      <c r="C422" s="24"/>
      <c r="D422" s="24"/>
      <c r="E422" s="24"/>
      <c r="F422" s="24"/>
      <c r="G422" s="92">
        <v>644</v>
      </c>
      <c r="H422" s="91">
        <v>200</v>
      </c>
      <c r="I422" s="71">
        <f>200+285</f>
        <v>485</v>
      </c>
      <c r="J422" s="24">
        <v>300</v>
      </c>
      <c r="K422" s="71">
        <v>200</v>
      </c>
      <c r="L422" s="92">
        <v>228</v>
      </c>
      <c r="M422" s="389">
        <v>52</v>
      </c>
      <c r="N422" s="430">
        <f t="shared" si="131"/>
        <v>22.807017543859647</v>
      </c>
      <c r="O422" s="389">
        <v>91</v>
      </c>
      <c r="P422" s="430">
        <f t="shared" si="128"/>
        <v>39.91228070175439</v>
      </c>
      <c r="Q422" s="389">
        <v>117</v>
      </c>
      <c r="R422" s="430">
        <f t="shared" si="129"/>
        <v>51.31578947368421</v>
      </c>
      <c r="S422" s="389">
        <v>144</v>
      </c>
      <c r="T422" s="430">
        <f t="shared" si="130"/>
        <v>63.1578947368421</v>
      </c>
      <c r="U422" s="389">
        <v>144</v>
      </c>
      <c r="V422" s="389"/>
    </row>
    <row r="423" spans="1:22" s="131" customFormat="1" ht="12.75">
      <c r="A423" s="71">
        <v>637026</v>
      </c>
      <c r="B423" s="24" t="s">
        <v>377</v>
      </c>
      <c r="C423" s="24"/>
      <c r="D423" s="24"/>
      <c r="E423" s="24"/>
      <c r="F423" s="24"/>
      <c r="G423" s="92">
        <v>2478</v>
      </c>
      <c r="H423" s="91">
        <v>2150</v>
      </c>
      <c r="I423" s="92">
        <v>2150</v>
      </c>
      <c r="J423" s="91">
        <v>1029</v>
      </c>
      <c r="K423" s="92">
        <v>2600</v>
      </c>
      <c r="L423" s="92">
        <v>2800</v>
      </c>
      <c r="M423" s="389">
        <v>425</v>
      </c>
      <c r="N423" s="430">
        <f t="shared" si="131"/>
        <v>15.178571428571427</v>
      </c>
      <c r="O423" s="389">
        <v>588</v>
      </c>
      <c r="P423" s="430">
        <f>SUM(O423/L423)*100</f>
        <v>21</v>
      </c>
      <c r="Q423" s="389">
        <v>862</v>
      </c>
      <c r="R423" s="430">
        <f>SUM(Q423/L423)*100</f>
        <v>30.78571428571429</v>
      </c>
      <c r="S423" s="389">
        <v>1018</v>
      </c>
      <c r="T423" s="430">
        <f>SUM(S423/L423)*100</f>
        <v>36.357142857142854</v>
      </c>
      <c r="U423" s="389">
        <v>1301</v>
      </c>
      <c r="V423" s="389"/>
    </row>
    <row r="424" spans="1:22" s="131" customFormat="1" ht="12.75">
      <c r="A424" s="71">
        <v>637027</v>
      </c>
      <c r="B424" s="24" t="s">
        <v>378</v>
      </c>
      <c r="C424" s="24"/>
      <c r="D424" s="24"/>
      <c r="E424" s="24"/>
      <c r="F424" s="24"/>
      <c r="G424" s="92">
        <v>521</v>
      </c>
      <c r="H424" s="91">
        <v>800</v>
      </c>
      <c r="I424" s="71">
        <v>700</v>
      </c>
      <c r="J424" s="24">
        <v>296</v>
      </c>
      <c r="K424" s="71">
        <v>700</v>
      </c>
      <c r="L424" s="92">
        <v>700</v>
      </c>
      <c r="M424" s="389">
        <v>2</v>
      </c>
      <c r="N424" s="430">
        <f t="shared" si="131"/>
        <v>0.2857142857142857</v>
      </c>
      <c r="O424" s="389">
        <v>6</v>
      </c>
      <c r="P424" s="430">
        <f>SUM(O424/L424)*100</f>
        <v>0.8571428571428572</v>
      </c>
      <c r="Q424" s="389">
        <v>340</v>
      </c>
      <c r="R424" s="430">
        <f>SUM(Q424/L424)*100</f>
        <v>48.57142857142857</v>
      </c>
      <c r="S424" s="389">
        <v>340</v>
      </c>
      <c r="T424" s="430">
        <f>SUM(S424/L424)*100</f>
        <v>48.57142857142857</v>
      </c>
      <c r="U424" s="389">
        <v>356</v>
      </c>
      <c r="V424" s="389"/>
    </row>
    <row r="425" spans="1:22" s="131" customFormat="1" ht="12.75">
      <c r="A425" s="71">
        <v>637031</v>
      </c>
      <c r="B425" s="24" t="s">
        <v>379</v>
      </c>
      <c r="C425" s="24"/>
      <c r="D425" s="24"/>
      <c r="E425" s="24"/>
      <c r="F425" s="24"/>
      <c r="G425" s="92">
        <v>53</v>
      </c>
      <c r="H425" s="91">
        <v>0</v>
      </c>
      <c r="I425" s="71">
        <v>0</v>
      </c>
      <c r="J425" s="24">
        <v>35</v>
      </c>
      <c r="K425" s="71">
        <v>0</v>
      </c>
      <c r="L425" s="92">
        <v>0</v>
      </c>
      <c r="M425" s="389">
        <v>0</v>
      </c>
      <c r="N425" s="430"/>
      <c r="O425" s="389">
        <v>62</v>
      </c>
      <c r="P425" s="549"/>
      <c r="Q425" s="389">
        <v>62</v>
      </c>
      <c r="R425" s="549"/>
      <c r="S425" s="389">
        <v>62</v>
      </c>
      <c r="T425" s="549"/>
      <c r="U425" s="389">
        <v>62</v>
      </c>
      <c r="V425" s="389"/>
    </row>
    <row r="426" spans="1:20" ht="12.75">
      <c r="A426" s="53"/>
      <c r="B426" s="55"/>
      <c r="C426" s="55"/>
      <c r="D426" s="12"/>
      <c r="E426" s="12"/>
      <c r="F426" s="12"/>
      <c r="G426" s="26"/>
      <c r="H426" s="52"/>
      <c r="I426" s="14"/>
      <c r="J426" s="12"/>
      <c r="K426" s="14"/>
      <c r="L426" s="26"/>
      <c r="N426" s="425"/>
      <c r="P426" s="547"/>
      <c r="R426" s="547"/>
      <c r="T426" s="547"/>
    </row>
    <row r="427" spans="1:22" s="131" customFormat="1" ht="12.75">
      <c r="A427" s="66">
        <v>642</v>
      </c>
      <c r="B427" s="49" t="s">
        <v>380</v>
      </c>
      <c r="C427" s="49"/>
      <c r="D427" s="24"/>
      <c r="E427" s="24"/>
      <c r="F427" s="24"/>
      <c r="G427" s="50">
        <f aca="true" t="shared" si="132" ref="G427:U427">SUM(G428:G430)</f>
        <v>781</v>
      </c>
      <c r="H427" s="51">
        <f t="shared" si="132"/>
        <v>650</v>
      </c>
      <c r="I427" s="50">
        <f t="shared" si="132"/>
        <v>800</v>
      </c>
      <c r="J427" s="51">
        <f t="shared" si="132"/>
        <v>580</v>
      </c>
      <c r="K427" s="50">
        <f t="shared" si="132"/>
        <v>550</v>
      </c>
      <c r="L427" s="50">
        <f t="shared" si="132"/>
        <v>810</v>
      </c>
      <c r="M427" s="197">
        <f t="shared" si="132"/>
        <v>238</v>
      </c>
      <c r="N427" s="433">
        <f>SUM(M427/L427)*100</f>
        <v>29.38271604938272</v>
      </c>
      <c r="O427" s="197">
        <f t="shared" si="132"/>
        <v>315</v>
      </c>
      <c r="P427" s="433">
        <f>SUM(O427/L427)*100</f>
        <v>38.88888888888889</v>
      </c>
      <c r="Q427" s="197">
        <f t="shared" si="132"/>
        <v>474</v>
      </c>
      <c r="R427" s="433">
        <f>SUM(Q427/L427)*100</f>
        <v>58.51851851851851</v>
      </c>
      <c r="S427" s="197">
        <f t="shared" si="132"/>
        <v>474</v>
      </c>
      <c r="T427" s="433">
        <f>SUM(S427/L427)*100</f>
        <v>58.51851851851851</v>
      </c>
      <c r="U427" s="197">
        <f t="shared" si="132"/>
        <v>477</v>
      </c>
      <c r="V427" s="389"/>
    </row>
    <row r="428" spans="1:22" s="131" customFormat="1" ht="12.75">
      <c r="A428" s="71">
        <v>642006</v>
      </c>
      <c r="B428" s="24" t="s">
        <v>381</v>
      </c>
      <c r="C428" s="24"/>
      <c r="D428" s="24"/>
      <c r="E428" s="24"/>
      <c r="F428" s="24"/>
      <c r="G428" s="92">
        <v>423</v>
      </c>
      <c r="H428" s="91">
        <v>400</v>
      </c>
      <c r="I428" s="92">
        <v>400</v>
      </c>
      <c r="J428" s="91">
        <v>396</v>
      </c>
      <c r="K428" s="71">
        <v>400</v>
      </c>
      <c r="L428" s="92">
        <v>400</v>
      </c>
      <c r="M428" s="389">
        <v>213</v>
      </c>
      <c r="N428" s="430">
        <f>SUM(M428/L428)*100</f>
        <v>53.25</v>
      </c>
      <c r="O428" s="389">
        <v>265</v>
      </c>
      <c r="P428" s="430">
        <f>SUM(O428/L428)*100</f>
        <v>66.25</v>
      </c>
      <c r="Q428" s="389">
        <v>307</v>
      </c>
      <c r="R428" s="430">
        <f>SUM(Q428/L428)*100</f>
        <v>76.75</v>
      </c>
      <c r="S428" s="389">
        <v>307</v>
      </c>
      <c r="T428" s="430">
        <f>SUM(S428/L428)*100</f>
        <v>76.75</v>
      </c>
      <c r="U428" s="389">
        <v>307</v>
      </c>
      <c r="V428" s="389"/>
    </row>
    <row r="429" spans="1:22" s="131" customFormat="1" ht="12.75">
      <c r="A429" s="71">
        <v>642015</v>
      </c>
      <c r="B429" s="24" t="s">
        <v>382</v>
      </c>
      <c r="C429" s="24"/>
      <c r="D429" s="24"/>
      <c r="E429" s="24"/>
      <c r="F429" s="24"/>
      <c r="G429" s="92">
        <v>108</v>
      </c>
      <c r="H429" s="91">
        <v>150</v>
      </c>
      <c r="I429" s="92">
        <v>150</v>
      </c>
      <c r="J429" s="91">
        <v>84</v>
      </c>
      <c r="K429" s="71">
        <v>150</v>
      </c>
      <c r="L429" s="92">
        <v>160</v>
      </c>
      <c r="M429" s="389">
        <v>25</v>
      </c>
      <c r="N429" s="430">
        <f>SUM(M429/L429)*100</f>
        <v>15.625</v>
      </c>
      <c r="O429" s="389">
        <v>50</v>
      </c>
      <c r="P429" s="430">
        <f>SUM(O429/L429)*100</f>
        <v>31.25</v>
      </c>
      <c r="Q429" s="389">
        <v>67</v>
      </c>
      <c r="R429" s="430">
        <f>SUM(Q429/L429)*100</f>
        <v>41.875</v>
      </c>
      <c r="S429" s="389">
        <v>67</v>
      </c>
      <c r="T429" s="430">
        <f>SUM(S429/L429)*100</f>
        <v>41.875</v>
      </c>
      <c r="U429" s="389">
        <v>70</v>
      </c>
      <c r="V429" s="389"/>
    </row>
    <row r="430" spans="1:22" s="131" customFormat="1" ht="12.75">
      <c r="A430" s="71">
        <v>642009</v>
      </c>
      <c r="B430" s="24" t="s">
        <v>725</v>
      </c>
      <c r="C430" s="24"/>
      <c r="D430" s="24"/>
      <c r="E430" s="24"/>
      <c r="F430" s="24"/>
      <c r="G430" s="92">
        <v>250</v>
      </c>
      <c r="H430" s="91">
        <v>100</v>
      </c>
      <c r="I430" s="92">
        <v>250</v>
      </c>
      <c r="J430" s="91">
        <v>100</v>
      </c>
      <c r="K430" s="71">
        <v>0</v>
      </c>
      <c r="L430" s="92">
        <v>250</v>
      </c>
      <c r="M430" s="389"/>
      <c r="N430" s="430"/>
      <c r="O430" s="389"/>
      <c r="P430" s="549"/>
      <c r="Q430" s="389">
        <v>100</v>
      </c>
      <c r="R430" s="430">
        <f>SUM(Q430/L430)*100</f>
        <v>40</v>
      </c>
      <c r="S430" s="389">
        <v>100</v>
      </c>
      <c r="T430" s="430">
        <f>SUM(S430/L430)*100</f>
        <v>40</v>
      </c>
      <c r="U430" s="389">
        <v>100</v>
      </c>
      <c r="V430" s="389"/>
    </row>
    <row r="431" spans="1:20" ht="12.75">
      <c r="A431" s="53"/>
      <c r="B431" s="55"/>
      <c r="C431" s="55"/>
      <c r="D431" s="12"/>
      <c r="E431" s="12"/>
      <c r="F431" s="12"/>
      <c r="G431" s="26"/>
      <c r="H431" s="57"/>
      <c r="I431" s="14"/>
      <c r="J431" s="12"/>
      <c r="K431" s="14"/>
      <c r="L431" s="26"/>
      <c r="N431" s="425"/>
      <c r="P431" s="547"/>
      <c r="R431" s="547"/>
      <c r="T431" s="547"/>
    </row>
    <row r="432" spans="1:22" s="131" customFormat="1" ht="12.75">
      <c r="A432" s="196">
        <v>700</v>
      </c>
      <c r="B432" s="237" t="s">
        <v>38</v>
      </c>
      <c r="C432" s="237"/>
      <c r="D432" s="24"/>
      <c r="E432" s="24"/>
      <c r="F432" s="24"/>
      <c r="G432" s="375" t="e">
        <f>G433+G436+#REF!</f>
        <v>#REF!</v>
      </c>
      <c r="H432" s="122" t="e">
        <f>H433+H436+#REF!+H441</f>
        <v>#REF!</v>
      </c>
      <c r="I432" s="375" t="e">
        <f>I433+I436+#REF!+I441</f>
        <v>#REF!</v>
      </c>
      <c r="J432" s="122" t="e">
        <f>J433+J436+#REF!+J441</f>
        <v>#REF!</v>
      </c>
      <c r="K432" s="375" t="e">
        <f>K433+K436+#REF!+K441</f>
        <v>#REF!</v>
      </c>
      <c r="L432" s="375">
        <f>L433+L436+L441+L444+L448</f>
        <v>8484</v>
      </c>
      <c r="M432" s="376" t="e">
        <f>M433+M436+#REF!+M441</f>
        <v>#REF!</v>
      </c>
      <c r="N432" s="431" t="e">
        <f>SUM(M432/L432)*100</f>
        <v>#REF!</v>
      </c>
      <c r="O432" s="376" t="e">
        <f>O433+O436+O441+O444+#REF!+O441</f>
        <v>#REF!</v>
      </c>
      <c r="P432" s="431" t="e">
        <f>SUM(O432/L432)*100</f>
        <v>#REF!</v>
      </c>
      <c r="Q432" s="376" t="e">
        <f>Q433+Q436+Q441+Q444+#REF!+Q441</f>
        <v>#REF!</v>
      </c>
      <c r="R432" s="431" t="e">
        <f>SUM(Q432/L432)*100</f>
        <v>#REF!</v>
      </c>
      <c r="S432" s="546">
        <f>S433+S436+S441+S444+S448</f>
        <v>557</v>
      </c>
      <c r="T432" s="493">
        <f>SUM(S432/L432)*100</f>
        <v>6.565299387081565</v>
      </c>
      <c r="U432" s="546">
        <f>U433+U436+U441+U444+U448</f>
        <v>1313</v>
      </c>
      <c r="V432" s="389"/>
    </row>
    <row r="433" spans="1:20" ht="12.75">
      <c r="A433" s="66">
        <v>711</v>
      </c>
      <c r="B433" s="49" t="s">
        <v>383</v>
      </c>
      <c r="C433" s="49"/>
      <c r="D433" s="12"/>
      <c r="E433" s="12"/>
      <c r="F433" s="12"/>
      <c r="G433" s="193">
        <f aca="true" t="shared" si="133" ref="G433:L433">G434</f>
        <v>672</v>
      </c>
      <c r="H433" s="194">
        <f t="shared" si="133"/>
        <v>70</v>
      </c>
      <c r="I433" s="193">
        <f t="shared" si="133"/>
        <v>370</v>
      </c>
      <c r="J433" s="194">
        <f t="shared" si="133"/>
        <v>0</v>
      </c>
      <c r="K433" s="193">
        <f t="shared" si="133"/>
        <v>1200</v>
      </c>
      <c r="L433" s="50">
        <f t="shared" si="133"/>
        <v>600</v>
      </c>
      <c r="M433" s="389"/>
      <c r="N433" s="430"/>
      <c r="O433" s="389"/>
      <c r="P433" s="549"/>
      <c r="Q433" s="389"/>
      <c r="R433" s="549"/>
      <c r="S433" s="542">
        <f>S434</f>
        <v>0</v>
      </c>
      <c r="T433" s="13"/>
    </row>
    <row r="434" spans="1:22" s="131" customFormat="1" ht="12.75">
      <c r="A434" s="71">
        <v>711003</v>
      </c>
      <c r="B434" s="24" t="s">
        <v>384</v>
      </c>
      <c r="C434" s="24"/>
      <c r="D434" s="24"/>
      <c r="E434" s="24"/>
      <c r="F434" s="24"/>
      <c r="G434" s="92">
        <v>672</v>
      </c>
      <c r="H434" s="91">
        <v>70</v>
      </c>
      <c r="I434" s="92">
        <v>370</v>
      </c>
      <c r="J434" s="91">
        <v>0</v>
      </c>
      <c r="K434" s="92">
        <v>1200</v>
      </c>
      <c r="L434" s="92">
        <v>600</v>
      </c>
      <c r="M434" s="389"/>
      <c r="N434" s="430"/>
      <c r="O434" s="389"/>
      <c r="P434" s="549"/>
      <c r="Q434" s="389"/>
      <c r="R434" s="549"/>
      <c r="S434" s="389">
        <v>0</v>
      </c>
      <c r="T434" s="549"/>
      <c r="U434" s="389"/>
      <c r="V434" s="389"/>
    </row>
    <row r="435" spans="1:20" ht="12.75">
      <c r="A435" s="53"/>
      <c r="B435" s="55"/>
      <c r="C435" s="55"/>
      <c r="D435" s="12"/>
      <c r="E435" s="12"/>
      <c r="F435" s="12"/>
      <c r="G435" s="26"/>
      <c r="H435" s="57"/>
      <c r="I435" s="14"/>
      <c r="J435" s="12"/>
      <c r="K435" s="14"/>
      <c r="L435" s="26"/>
      <c r="N435" s="425"/>
      <c r="P435" s="547"/>
      <c r="R435" s="547"/>
      <c r="T435" s="547"/>
    </row>
    <row r="436" spans="1:22" s="131" customFormat="1" ht="12.75">
      <c r="A436" s="66">
        <v>713</v>
      </c>
      <c r="B436" s="49" t="s">
        <v>385</v>
      </c>
      <c r="C436" s="49"/>
      <c r="D436" s="24"/>
      <c r="E436" s="24"/>
      <c r="F436" s="24"/>
      <c r="G436" s="50">
        <f aca="true" t="shared" si="134" ref="G436:M436">SUM(G437:G439)</f>
        <v>1629</v>
      </c>
      <c r="H436" s="51">
        <f t="shared" si="134"/>
        <v>500</v>
      </c>
      <c r="I436" s="50">
        <f t="shared" si="134"/>
        <v>568</v>
      </c>
      <c r="J436" s="51">
        <f t="shared" si="134"/>
        <v>460</v>
      </c>
      <c r="K436" s="50">
        <f t="shared" si="134"/>
        <v>4000</v>
      </c>
      <c r="L436" s="50">
        <f t="shared" si="134"/>
        <v>2600</v>
      </c>
      <c r="M436" s="197">
        <f t="shared" si="134"/>
        <v>55</v>
      </c>
      <c r="N436" s="433">
        <f>SUM(M436/L436)*100</f>
        <v>2.1153846153846154</v>
      </c>
      <c r="O436" s="197">
        <f>SUM(O437:O439)</f>
        <v>106</v>
      </c>
      <c r="P436" s="433">
        <f>SUM(O436/L436)*100</f>
        <v>4.076923076923077</v>
      </c>
      <c r="Q436" s="197">
        <f>SUM(Q437:Q439)</f>
        <v>106</v>
      </c>
      <c r="R436" s="433">
        <f>SUM(Q436/L436)*100</f>
        <v>4.076923076923077</v>
      </c>
      <c r="S436" s="197">
        <f>SUM(S437:S439)</f>
        <v>106</v>
      </c>
      <c r="T436" s="433">
        <f>SUM(S436/L436)*100</f>
        <v>4.076923076923077</v>
      </c>
      <c r="U436" s="197">
        <f>SUM(U437:U439)</f>
        <v>862</v>
      </c>
      <c r="V436" s="389"/>
    </row>
    <row r="437" spans="1:22" s="131" customFormat="1" ht="12.75">
      <c r="A437" s="71">
        <v>713001</v>
      </c>
      <c r="B437" s="24" t="s">
        <v>278</v>
      </c>
      <c r="C437" s="24"/>
      <c r="D437" s="24"/>
      <c r="E437" s="24"/>
      <c r="F437" s="24"/>
      <c r="G437" s="92">
        <v>0</v>
      </c>
      <c r="H437" s="91">
        <v>100</v>
      </c>
      <c r="I437" s="92">
        <v>168</v>
      </c>
      <c r="J437" s="91">
        <v>68</v>
      </c>
      <c r="K437" s="92">
        <v>3000</v>
      </c>
      <c r="L437" s="92">
        <v>1000</v>
      </c>
      <c r="M437" s="389"/>
      <c r="N437" s="430"/>
      <c r="O437" s="389"/>
      <c r="P437" s="549"/>
      <c r="Q437" s="389"/>
      <c r="R437" s="549"/>
      <c r="S437" s="389">
        <v>0</v>
      </c>
      <c r="T437" s="549"/>
      <c r="U437" s="389">
        <v>496</v>
      </c>
      <c r="V437" s="389"/>
    </row>
    <row r="438" spans="1:22" s="131" customFormat="1" ht="12.75">
      <c r="A438" s="71">
        <v>713002</v>
      </c>
      <c r="B438" s="24" t="s">
        <v>279</v>
      </c>
      <c r="C438" s="24"/>
      <c r="D438" s="24"/>
      <c r="E438" s="24"/>
      <c r="F438" s="24"/>
      <c r="G438" s="92">
        <v>1505</v>
      </c>
      <c r="H438" s="91">
        <v>400</v>
      </c>
      <c r="I438" s="92">
        <v>400</v>
      </c>
      <c r="J438" s="91">
        <v>392</v>
      </c>
      <c r="K438" s="71">
        <v>400</v>
      </c>
      <c r="L438" s="92">
        <v>1000</v>
      </c>
      <c r="M438" s="389">
        <v>55</v>
      </c>
      <c r="N438" s="430">
        <f>SUM(M438/L438)*100</f>
        <v>5.5</v>
      </c>
      <c r="O438" s="389">
        <v>106</v>
      </c>
      <c r="P438" s="430">
        <f>SUM(O438/L438)*100</f>
        <v>10.6</v>
      </c>
      <c r="Q438" s="389">
        <v>106</v>
      </c>
      <c r="R438" s="430">
        <f>SUM(Q438/L438)*100</f>
        <v>10.6</v>
      </c>
      <c r="S438" s="389">
        <v>106</v>
      </c>
      <c r="T438" s="430">
        <f>SUM(S438/L438)*100</f>
        <v>10.6</v>
      </c>
      <c r="U438" s="389">
        <v>366</v>
      </c>
      <c r="V438" s="389"/>
    </row>
    <row r="439" spans="1:22" s="131" customFormat="1" ht="12.75">
      <c r="A439" s="71">
        <v>713004</v>
      </c>
      <c r="B439" s="24" t="s">
        <v>280</v>
      </c>
      <c r="C439" s="24"/>
      <c r="D439" s="24"/>
      <c r="E439" s="24"/>
      <c r="F439" s="24"/>
      <c r="G439" s="92">
        <v>124</v>
      </c>
      <c r="H439" s="91">
        <v>0</v>
      </c>
      <c r="I439" s="92">
        <v>0</v>
      </c>
      <c r="J439" s="91">
        <v>0</v>
      </c>
      <c r="K439" s="71">
        <v>600</v>
      </c>
      <c r="L439" s="92">
        <v>600</v>
      </c>
      <c r="M439" s="389"/>
      <c r="N439" s="430"/>
      <c r="O439" s="389"/>
      <c r="P439" s="549"/>
      <c r="Q439" s="389"/>
      <c r="R439" s="549"/>
      <c r="S439" s="389">
        <v>0</v>
      </c>
      <c r="T439" s="549"/>
      <c r="U439" s="389"/>
      <c r="V439" s="389"/>
    </row>
    <row r="440" spans="1:20" ht="12.75">
      <c r="A440" s="53"/>
      <c r="B440" s="55"/>
      <c r="C440" s="55"/>
      <c r="D440" s="12"/>
      <c r="E440" s="12"/>
      <c r="F440" s="12"/>
      <c r="G440" s="56"/>
      <c r="H440" s="52"/>
      <c r="I440" s="26"/>
      <c r="J440" s="52"/>
      <c r="K440" s="14"/>
      <c r="L440" s="26"/>
      <c r="N440" s="425"/>
      <c r="P440" s="547"/>
      <c r="R440" s="547"/>
      <c r="T440" s="547"/>
    </row>
    <row r="441" spans="1:22" ht="12.75">
      <c r="A441" s="66">
        <v>714</v>
      </c>
      <c r="B441" s="49" t="s">
        <v>387</v>
      </c>
      <c r="C441" s="55"/>
      <c r="D441" s="12"/>
      <c r="E441" s="12"/>
      <c r="F441" s="12"/>
      <c r="G441" s="221">
        <v>0</v>
      </c>
      <c r="H441" s="194">
        <v>0</v>
      </c>
      <c r="I441" s="193">
        <f>SUM(I442)</f>
        <v>350</v>
      </c>
      <c r="J441" s="194">
        <f>SUM(J442)</f>
        <v>0</v>
      </c>
      <c r="K441" s="193">
        <f>SUM(K442)</f>
        <v>0</v>
      </c>
      <c r="L441" s="50">
        <f>SUM(L442)</f>
        <v>400</v>
      </c>
      <c r="M441" s="389"/>
      <c r="N441" s="430"/>
      <c r="O441" s="389"/>
      <c r="P441" s="549"/>
      <c r="Q441" s="389"/>
      <c r="R441" s="549"/>
      <c r="S441" s="399">
        <v>0</v>
      </c>
      <c r="T441" s="547"/>
      <c r="U441" s="399">
        <v>0</v>
      </c>
      <c r="V441" s="399"/>
    </row>
    <row r="442" spans="1:21" ht="12.75">
      <c r="A442" s="71">
        <v>714001</v>
      </c>
      <c r="B442" s="24" t="s">
        <v>388</v>
      </c>
      <c r="C442" s="55"/>
      <c r="D442" s="12"/>
      <c r="E442" s="12"/>
      <c r="F442" s="12"/>
      <c r="G442" s="92">
        <v>0</v>
      </c>
      <c r="H442" s="52">
        <v>0</v>
      </c>
      <c r="I442" s="26">
        <v>350</v>
      </c>
      <c r="J442" s="52">
        <v>0</v>
      </c>
      <c r="K442" s="14">
        <v>0</v>
      </c>
      <c r="L442" s="26">
        <v>400</v>
      </c>
      <c r="N442" s="425"/>
      <c r="P442" s="547"/>
      <c r="R442" s="547"/>
      <c r="S442" s="31">
        <v>0</v>
      </c>
      <c r="T442" s="547"/>
      <c r="U442" s="31">
        <v>0</v>
      </c>
    </row>
    <row r="443" spans="1:20" ht="12.75">
      <c r="A443" s="71"/>
      <c r="B443" s="24"/>
      <c r="C443" s="55"/>
      <c r="D443" s="12"/>
      <c r="E443" s="12"/>
      <c r="F443" s="12"/>
      <c r="G443" s="92"/>
      <c r="H443" s="52"/>
      <c r="I443" s="26"/>
      <c r="J443" s="52"/>
      <c r="K443" s="14"/>
      <c r="L443" s="26"/>
      <c r="N443" s="425"/>
      <c r="P443" s="547"/>
      <c r="R443" s="547"/>
      <c r="T443" s="547"/>
    </row>
    <row r="444" spans="1:22" s="130" customFormat="1" ht="12.75">
      <c r="A444" s="66">
        <v>717002</v>
      </c>
      <c r="B444" s="49" t="s">
        <v>726</v>
      </c>
      <c r="C444" s="49"/>
      <c r="D444" s="49"/>
      <c r="E444" s="49"/>
      <c r="F444" s="49"/>
      <c r="G444" s="50"/>
      <c r="H444" s="51"/>
      <c r="I444" s="50"/>
      <c r="J444" s="51"/>
      <c r="K444" s="66"/>
      <c r="L444" s="50">
        <f>SUM(L445+L446)</f>
        <v>2950</v>
      </c>
      <c r="M444" s="399"/>
      <c r="N444" s="433"/>
      <c r="O444" s="399">
        <f>SUM(O445+O446)</f>
        <v>365</v>
      </c>
      <c r="P444" s="433">
        <f>SUM(O444/L444)*100</f>
        <v>12.372881355932204</v>
      </c>
      <c r="Q444" s="399">
        <v>450</v>
      </c>
      <c r="R444" s="433">
        <f>SUM(Q444/L444)*100</f>
        <v>15.254237288135593</v>
      </c>
      <c r="S444" s="399">
        <v>451</v>
      </c>
      <c r="T444" s="433">
        <f>SUM(S444/L444)*100</f>
        <v>15.288135593220339</v>
      </c>
      <c r="U444" s="399">
        <v>451</v>
      </c>
      <c r="V444" s="399"/>
    </row>
    <row r="445" spans="1:21" ht="12.75">
      <c r="A445" s="71"/>
      <c r="B445" s="70" t="s">
        <v>727</v>
      </c>
      <c r="C445" s="24"/>
      <c r="D445" s="24"/>
      <c r="E445" s="24"/>
      <c r="F445" s="24"/>
      <c r="G445" s="92"/>
      <c r="H445" s="52"/>
      <c r="I445" s="26"/>
      <c r="J445" s="52"/>
      <c r="K445" s="14"/>
      <c r="L445" s="26">
        <v>450</v>
      </c>
      <c r="N445" s="425"/>
      <c r="O445" s="31">
        <v>365</v>
      </c>
      <c r="P445" s="547"/>
      <c r="Q445" s="31">
        <v>450</v>
      </c>
      <c r="R445" s="430">
        <f>SUM(Q445/L445)*100</f>
        <v>100</v>
      </c>
      <c r="S445" s="31">
        <v>451</v>
      </c>
      <c r="T445" s="430">
        <f>SUM(S445/L445)*100</f>
        <v>100.22222222222221</v>
      </c>
      <c r="U445" s="31">
        <v>451</v>
      </c>
    </row>
    <row r="446" spans="1:21" ht="12.75">
      <c r="A446" s="53"/>
      <c r="B446" s="70" t="s">
        <v>911</v>
      </c>
      <c r="C446" s="55"/>
      <c r="D446" s="12"/>
      <c r="E446" s="12"/>
      <c r="F446" s="12"/>
      <c r="G446" s="26"/>
      <c r="H446" s="52"/>
      <c r="I446" s="26"/>
      <c r="J446" s="52"/>
      <c r="K446" s="14"/>
      <c r="L446" s="26">
        <v>2500</v>
      </c>
      <c r="N446" s="425"/>
      <c r="P446" s="547"/>
      <c r="R446" s="547"/>
      <c r="S446" s="31">
        <v>0</v>
      </c>
      <c r="T446" s="547"/>
      <c r="U446" s="31">
        <v>0</v>
      </c>
    </row>
    <row r="447" spans="1:20" ht="12.75">
      <c r="A447" s="53"/>
      <c r="B447" s="70"/>
      <c r="C447" s="55"/>
      <c r="D447" s="12"/>
      <c r="E447" s="12"/>
      <c r="F447" s="12"/>
      <c r="G447" s="26"/>
      <c r="H447" s="52"/>
      <c r="I447" s="26"/>
      <c r="J447" s="52"/>
      <c r="K447" s="14"/>
      <c r="L447" s="26"/>
      <c r="N447" s="425"/>
      <c r="P447" s="547"/>
      <c r="R447" s="547"/>
      <c r="T447" s="547"/>
    </row>
    <row r="448" spans="1:22" s="130" customFormat="1" ht="12.75">
      <c r="A448" s="66">
        <v>723001</v>
      </c>
      <c r="B448" s="49" t="s">
        <v>912</v>
      </c>
      <c r="C448" s="49"/>
      <c r="D448" s="49"/>
      <c r="E448" s="49"/>
      <c r="F448" s="49"/>
      <c r="G448" s="51"/>
      <c r="H448" s="51"/>
      <c r="I448" s="51"/>
      <c r="J448" s="51"/>
      <c r="K448" s="49"/>
      <c r="L448" s="50">
        <v>1934</v>
      </c>
      <c r="M448" s="51"/>
      <c r="N448" s="592"/>
      <c r="O448" s="51"/>
      <c r="P448" s="49"/>
      <c r="Q448" s="51"/>
      <c r="R448" s="552"/>
      <c r="S448" s="399">
        <v>0</v>
      </c>
      <c r="T448" s="552"/>
      <c r="U448" s="399">
        <v>0</v>
      </c>
      <c r="V448" s="399"/>
    </row>
    <row r="449" spans="1:22" s="131" customFormat="1" ht="13.5" thickBot="1">
      <c r="A449" s="263"/>
      <c r="B449" s="248" t="s">
        <v>913</v>
      </c>
      <c r="C449" s="212"/>
      <c r="D449" s="212"/>
      <c r="E449" s="212"/>
      <c r="F449" s="212"/>
      <c r="G449" s="631"/>
      <c r="H449" s="631"/>
      <c r="I449" s="631"/>
      <c r="J449" s="631"/>
      <c r="K449" s="212"/>
      <c r="L449" s="250">
        <v>1934</v>
      </c>
      <c r="M449" s="631"/>
      <c r="N449" s="597"/>
      <c r="O449" s="631"/>
      <c r="P449" s="212"/>
      <c r="Q449" s="631"/>
      <c r="R449" s="559"/>
      <c r="S449" s="120">
        <v>0</v>
      </c>
      <c r="T449" s="559"/>
      <c r="U449" s="389">
        <v>0</v>
      </c>
      <c r="V449" s="389"/>
    </row>
    <row r="450" spans="1:22" s="131" customFormat="1" ht="12.75">
      <c r="A450" s="24"/>
      <c r="B450" s="24"/>
      <c r="C450" s="24"/>
      <c r="D450" s="24"/>
      <c r="E450" s="24"/>
      <c r="F450" s="24"/>
      <c r="G450" s="91"/>
      <c r="H450" s="91"/>
      <c r="I450" s="91"/>
      <c r="J450" s="91"/>
      <c r="K450" s="24"/>
      <c r="L450" s="91"/>
      <c r="M450" s="91"/>
      <c r="N450" s="438"/>
      <c r="O450" s="91"/>
      <c r="P450" s="24"/>
      <c r="Q450" s="91"/>
      <c r="R450" s="24"/>
      <c r="S450" s="389"/>
      <c r="U450" s="389"/>
      <c r="V450" s="389"/>
    </row>
    <row r="451" spans="1:12" ht="12.75">
      <c r="A451" s="55"/>
      <c r="B451" s="55"/>
      <c r="C451" s="55"/>
      <c r="D451" s="12"/>
      <c r="E451" s="12"/>
      <c r="F451" s="12"/>
      <c r="G451" s="57"/>
      <c r="H451" s="52"/>
      <c r="I451" s="52"/>
      <c r="J451" s="52"/>
      <c r="K451" s="12"/>
      <c r="L451" s="52"/>
    </row>
    <row r="452" spans="1:12" ht="12.75">
      <c r="A452" s="55"/>
      <c r="B452" s="55"/>
      <c r="C452" s="55"/>
      <c r="D452" s="12"/>
      <c r="E452" s="12"/>
      <c r="F452" s="12"/>
      <c r="G452" s="57"/>
      <c r="H452" s="52"/>
      <c r="I452" s="52"/>
      <c r="J452" s="52"/>
      <c r="K452" s="12"/>
      <c r="L452" s="52"/>
    </row>
    <row r="453" spans="1:12" ht="13.5" thickBot="1">
      <c r="A453" s="55"/>
      <c r="B453" s="55"/>
      <c r="C453" s="55"/>
      <c r="D453" s="12"/>
      <c r="E453" s="12"/>
      <c r="F453" s="12"/>
      <c r="G453" s="57"/>
      <c r="H453" s="52"/>
      <c r="I453" s="52"/>
      <c r="J453" s="52"/>
      <c r="K453" s="12"/>
      <c r="L453" s="52"/>
    </row>
    <row r="454" spans="1:20" ht="13.5" thickBot="1">
      <c r="A454" s="177" t="s">
        <v>44</v>
      </c>
      <c r="B454" s="177"/>
      <c r="C454" s="178"/>
      <c r="D454" s="179"/>
      <c r="E454" s="179"/>
      <c r="F454" s="222"/>
      <c r="G454" s="223" t="s">
        <v>23</v>
      </c>
      <c r="H454" s="136"/>
      <c r="I454" s="138" t="s">
        <v>24</v>
      </c>
      <c r="J454" s="216"/>
      <c r="K454" s="10" t="s">
        <v>25</v>
      </c>
      <c r="L454" s="238" t="s">
        <v>645</v>
      </c>
      <c r="M454" s="403" t="s">
        <v>296</v>
      </c>
      <c r="N454" s="426" t="s">
        <v>684</v>
      </c>
      <c r="O454" s="403" t="s">
        <v>296</v>
      </c>
      <c r="P454" s="426" t="s">
        <v>683</v>
      </c>
      <c r="Q454" s="415" t="s">
        <v>296</v>
      </c>
      <c r="R454" s="426" t="s">
        <v>681</v>
      </c>
      <c r="S454" s="415" t="s">
        <v>296</v>
      </c>
      <c r="T454" s="426" t="s">
        <v>681</v>
      </c>
    </row>
    <row r="455" spans="1:20" ht="16.5" thickTop="1">
      <c r="A455" s="224" t="s">
        <v>159</v>
      </c>
      <c r="B455" s="225" t="s">
        <v>160</v>
      </c>
      <c r="C455" s="182"/>
      <c r="D455" s="12"/>
      <c r="E455" s="12"/>
      <c r="F455" s="13"/>
      <c r="G455" s="52" t="s">
        <v>45</v>
      </c>
      <c r="H455" s="32" t="s">
        <v>27</v>
      </c>
      <c r="I455" s="6" t="s">
        <v>92</v>
      </c>
      <c r="J455" s="108" t="s">
        <v>29</v>
      </c>
      <c r="K455" s="33" t="s">
        <v>46</v>
      </c>
      <c r="L455" s="208"/>
      <c r="M455" s="25" t="s">
        <v>297</v>
      </c>
      <c r="N455" s="425"/>
      <c r="O455" s="25" t="s">
        <v>750</v>
      </c>
      <c r="P455" s="547"/>
      <c r="Q455" s="416" t="s">
        <v>896</v>
      </c>
      <c r="R455" s="547"/>
      <c r="S455" s="416" t="s">
        <v>957</v>
      </c>
      <c r="T455" s="547"/>
    </row>
    <row r="456" spans="1:20" ht="13.5" thickBot="1">
      <c r="A456" s="36"/>
      <c r="B456" s="226"/>
      <c r="C456" s="185"/>
      <c r="D456" s="37"/>
      <c r="E456" s="37"/>
      <c r="F456" s="227"/>
      <c r="G456" s="228"/>
      <c r="H456" s="84">
        <v>38335</v>
      </c>
      <c r="I456" s="148">
        <v>38587</v>
      </c>
      <c r="J456" s="110" t="s">
        <v>31</v>
      </c>
      <c r="K456" s="33" t="s">
        <v>32</v>
      </c>
      <c r="L456" s="242"/>
      <c r="M456" s="404"/>
      <c r="N456" s="429"/>
      <c r="O456" s="404"/>
      <c r="P456" s="548"/>
      <c r="Q456" s="411"/>
      <c r="R456" s="548"/>
      <c r="S456" s="411"/>
      <c r="T456" s="548"/>
    </row>
    <row r="457" spans="1:20" ht="13.5" thickBot="1">
      <c r="A457" s="40" t="s">
        <v>47</v>
      </c>
      <c r="B457" s="40"/>
      <c r="C457" s="39"/>
      <c r="D457" s="188" t="s">
        <v>48</v>
      </c>
      <c r="E457" s="19"/>
      <c r="F457" s="20"/>
      <c r="G457" s="229">
        <v>1</v>
      </c>
      <c r="H457" s="41">
        <v>2</v>
      </c>
      <c r="I457" s="22">
        <v>3</v>
      </c>
      <c r="J457" s="22">
        <v>4</v>
      </c>
      <c r="K457" s="40">
        <v>1</v>
      </c>
      <c r="L457" s="599">
        <v>1</v>
      </c>
      <c r="M457" s="409"/>
      <c r="N457" s="424"/>
      <c r="P457" s="547"/>
      <c r="R457" s="551"/>
      <c r="T457" s="556"/>
    </row>
    <row r="458" spans="1:22" s="131" customFormat="1" ht="12.75">
      <c r="A458" s="377">
        <v>800</v>
      </c>
      <c r="B458" s="378" t="s">
        <v>389</v>
      </c>
      <c r="C458" s="379"/>
      <c r="D458" s="168"/>
      <c r="E458" s="168"/>
      <c r="F458" s="380"/>
      <c r="G458" s="381">
        <v>0</v>
      </c>
      <c r="H458" s="382">
        <f>SUM(H462)</f>
        <v>0</v>
      </c>
      <c r="I458" s="374">
        <f>SUM(I462:I465)</f>
        <v>119</v>
      </c>
      <c r="J458" s="374">
        <f>SUM(J462:J465)</f>
        <v>75</v>
      </c>
      <c r="K458" s="374">
        <f>SUM(K462:K465)</f>
        <v>70</v>
      </c>
      <c r="L458" s="375">
        <f>SUM(L459+L462+L465)</f>
        <v>1470</v>
      </c>
      <c r="M458" s="375">
        <f>SUM(M459+M462+M465)</f>
        <v>6</v>
      </c>
      <c r="N458" s="431">
        <f>SUM(M458/L458)*100</f>
        <v>0.40816326530612246</v>
      </c>
      <c r="O458" s="412">
        <f>SUM(O459+O462+O465)</f>
        <v>222</v>
      </c>
      <c r="P458" s="484">
        <f>SUM(O458/L458)*100</f>
        <v>15.10204081632653</v>
      </c>
      <c r="Q458" s="412">
        <f>SUM(Q459+Q462+Q465)</f>
        <v>228</v>
      </c>
      <c r="R458" s="484">
        <f>SUM(Q458/L458)*100</f>
        <v>15.510204081632653</v>
      </c>
      <c r="S458" s="412">
        <f>SUM(S459+S462+S465)</f>
        <v>234</v>
      </c>
      <c r="T458" s="484">
        <f>SUM(S458/L458)*100</f>
        <v>15.918367346938775</v>
      </c>
      <c r="U458" s="412">
        <f>SUM(U459+U462+U465)</f>
        <v>1434</v>
      </c>
      <c r="V458" s="389"/>
    </row>
    <row r="459" spans="1:22" s="393" customFormat="1" ht="12.75">
      <c r="A459" s="66">
        <v>812</v>
      </c>
      <c r="B459" s="199" t="s">
        <v>728</v>
      </c>
      <c r="C459" s="49"/>
      <c r="D459" s="252"/>
      <c r="E459" s="252"/>
      <c r="F459" s="235"/>
      <c r="G459" s="193"/>
      <c r="H459" s="210"/>
      <c r="I459" s="193"/>
      <c r="J459" s="193"/>
      <c r="K459" s="193"/>
      <c r="L459" s="50">
        <v>1200</v>
      </c>
      <c r="M459" s="197"/>
      <c r="N459" s="433"/>
      <c r="O459" s="399">
        <v>200</v>
      </c>
      <c r="P459" s="433">
        <f>SUM(O459/L459)*100</f>
        <v>16.666666666666664</v>
      </c>
      <c r="Q459" s="399">
        <v>200</v>
      </c>
      <c r="R459" s="433">
        <f>SUM(Q459/L459)*100</f>
        <v>16.666666666666664</v>
      </c>
      <c r="S459" s="399">
        <v>0</v>
      </c>
      <c r="T459" s="433">
        <f>SUM(S459/L459)*100</f>
        <v>0</v>
      </c>
      <c r="U459" s="399">
        <v>1200</v>
      </c>
      <c r="V459" s="784"/>
    </row>
    <row r="460" spans="1:22" s="131" customFormat="1" ht="12.75">
      <c r="A460" s="71">
        <v>812002</v>
      </c>
      <c r="B460" s="23" t="s">
        <v>729</v>
      </c>
      <c r="C460" s="24"/>
      <c r="D460" s="24"/>
      <c r="E460" s="24"/>
      <c r="F460" s="58"/>
      <c r="G460" s="56"/>
      <c r="H460" s="211"/>
      <c r="I460" s="56"/>
      <c r="J460" s="56"/>
      <c r="K460" s="56"/>
      <c r="L460" s="92">
        <v>1200</v>
      </c>
      <c r="M460" s="206"/>
      <c r="N460" s="430"/>
      <c r="O460" s="389">
        <v>200</v>
      </c>
      <c r="P460" s="430">
        <f>SUM(O460/L460)*100</f>
        <v>16.666666666666664</v>
      </c>
      <c r="Q460" s="389">
        <v>200</v>
      </c>
      <c r="R460" s="430">
        <f>SUM(Q460/L460)*100</f>
        <v>16.666666666666664</v>
      </c>
      <c r="S460" s="389">
        <v>0</v>
      </c>
      <c r="T460" s="430">
        <f>SUM(S460/L460)*100</f>
        <v>0</v>
      </c>
      <c r="U460" s="389">
        <v>1200</v>
      </c>
      <c r="V460" s="389"/>
    </row>
    <row r="461" spans="1:22" s="131" customFormat="1" ht="12.75">
      <c r="A461" s="196"/>
      <c r="B461" s="394"/>
      <c r="C461" s="237"/>
      <c r="D461" s="24"/>
      <c r="E461" s="24"/>
      <c r="F461" s="58"/>
      <c r="G461" s="374"/>
      <c r="H461" s="382"/>
      <c r="I461" s="374"/>
      <c r="J461" s="374"/>
      <c r="K461" s="374"/>
      <c r="L461" s="375"/>
      <c r="M461" s="376"/>
      <c r="N461" s="431"/>
      <c r="O461" s="389"/>
      <c r="P461" s="549"/>
      <c r="Q461" s="389"/>
      <c r="R461" s="549"/>
      <c r="S461" s="389"/>
      <c r="T461" s="549"/>
      <c r="U461" s="389"/>
      <c r="V461" s="389"/>
    </row>
    <row r="462" spans="1:22" ht="15">
      <c r="A462" s="66">
        <v>814</v>
      </c>
      <c r="B462" s="199" t="s">
        <v>390</v>
      </c>
      <c r="C462" s="63"/>
      <c r="D462" s="12"/>
      <c r="E462" s="12"/>
      <c r="F462" s="13"/>
      <c r="G462" s="193">
        <v>0</v>
      </c>
      <c r="H462" s="210">
        <v>0</v>
      </c>
      <c r="I462" s="193">
        <v>21</v>
      </c>
      <c r="J462" s="193">
        <v>21</v>
      </c>
      <c r="K462" s="230">
        <v>0</v>
      </c>
      <c r="L462" s="50">
        <v>200</v>
      </c>
      <c r="M462" s="376"/>
      <c r="N462" s="431"/>
      <c r="O462" s="197">
        <v>0</v>
      </c>
      <c r="P462" s="547"/>
      <c r="R462" s="547"/>
      <c r="S462" s="399">
        <v>200</v>
      </c>
      <c r="T462" s="433">
        <f>SUM(S462/L462)*100</f>
        <v>100</v>
      </c>
      <c r="U462" s="399">
        <v>200</v>
      </c>
      <c r="V462" s="399"/>
    </row>
    <row r="463" spans="1:22" s="131" customFormat="1" ht="14.25">
      <c r="A463" s="71"/>
      <c r="B463" s="23" t="s">
        <v>914</v>
      </c>
      <c r="C463" s="672"/>
      <c r="D463" s="24"/>
      <c r="E463" s="24"/>
      <c r="F463" s="58"/>
      <c r="G463" s="56"/>
      <c r="H463" s="211"/>
      <c r="I463" s="211"/>
      <c r="J463" s="211"/>
      <c r="K463" s="58"/>
      <c r="L463" s="320">
        <v>200</v>
      </c>
      <c r="M463" s="206"/>
      <c r="N463" s="430"/>
      <c r="O463" s="91"/>
      <c r="P463" s="549"/>
      <c r="Q463" s="389"/>
      <c r="R463" s="549"/>
      <c r="S463" s="389">
        <v>200</v>
      </c>
      <c r="T463" s="430">
        <f>SUM(S463/L463)*100</f>
        <v>100</v>
      </c>
      <c r="U463" s="389">
        <v>200</v>
      </c>
      <c r="V463" s="389"/>
    </row>
    <row r="464" spans="1:20" ht="15">
      <c r="A464" s="66"/>
      <c r="B464" s="199"/>
      <c r="C464" s="63"/>
      <c r="D464" s="12"/>
      <c r="E464" s="12"/>
      <c r="F464" s="13"/>
      <c r="G464" s="193"/>
      <c r="H464" s="210"/>
      <c r="I464" s="210"/>
      <c r="J464" s="210"/>
      <c r="K464" s="235"/>
      <c r="L464" s="319"/>
      <c r="M464" s="376"/>
      <c r="N464" s="431"/>
      <c r="O464" s="51"/>
      <c r="P464" s="547"/>
      <c r="R464" s="547"/>
      <c r="T464" s="547"/>
    </row>
    <row r="465" spans="1:22" ht="15.75" thickBot="1">
      <c r="A465" s="231">
        <v>824</v>
      </c>
      <c r="B465" s="232" t="s">
        <v>391</v>
      </c>
      <c r="C465" s="233"/>
      <c r="D465" s="19"/>
      <c r="E465" s="19"/>
      <c r="F465" s="20"/>
      <c r="G465" s="234">
        <v>0</v>
      </c>
      <c r="H465" s="210">
        <v>0</v>
      </c>
      <c r="I465" s="210">
        <v>98</v>
      </c>
      <c r="J465" s="210">
        <f>28+26</f>
        <v>54</v>
      </c>
      <c r="K465" s="235">
        <v>70</v>
      </c>
      <c r="L465" s="319">
        <v>70</v>
      </c>
      <c r="M465" s="197">
        <v>6</v>
      </c>
      <c r="N465" s="433">
        <f>SUM(M465/L465)*100</f>
        <v>8.571428571428571</v>
      </c>
      <c r="O465" s="399">
        <v>22</v>
      </c>
      <c r="P465" s="626">
        <f>SUM(O465/L465)*100</f>
        <v>31.428571428571427</v>
      </c>
      <c r="Q465" s="399">
        <v>28</v>
      </c>
      <c r="R465" s="433">
        <f>SUM(Q465/L465)*100</f>
        <v>40</v>
      </c>
      <c r="S465" s="399">
        <v>34</v>
      </c>
      <c r="T465" s="433">
        <f>SUM(S465/L465)*100</f>
        <v>48.57142857142857</v>
      </c>
      <c r="U465" s="399">
        <v>34</v>
      </c>
      <c r="V465" s="399"/>
    </row>
    <row r="466" spans="1:22" s="131" customFormat="1" ht="13.5" thickBot="1">
      <c r="A466" s="577"/>
      <c r="B466" s="577" t="s">
        <v>223</v>
      </c>
      <c r="C466" s="578"/>
      <c r="D466" s="578"/>
      <c r="E466" s="578"/>
      <c r="F466" s="658"/>
      <c r="G466" s="579">
        <v>0</v>
      </c>
      <c r="H466" s="580">
        <v>0</v>
      </c>
      <c r="I466" s="580">
        <f>SUM(I462:I465)</f>
        <v>119</v>
      </c>
      <c r="J466" s="580">
        <v>75</v>
      </c>
      <c r="K466" s="580">
        <v>70</v>
      </c>
      <c r="L466" s="580">
        <f>SUM(L458)</f>
        <v>1470</v>
      </c>
      <c r="M466" s="581">
        <v>6</v>
      </c>
      <c r="N466" s="582">
        <f>SUM(M466/L466)*100</f>
        <v>0.40816326530612246</v>
      </c>
      <c r="O466" s="581">
        <v>222</v>
      </c>
      <c r="P466" s="582">
        <f>SUM(O466/L466)*100</f>
        <v>15.10204081632653</v>
      </c>
      <c r="Q466" s="581">
        <v>228</v>
      </c>
      <c r="R466" s="582">
        <f>SUM(Q466/L466)*100</f>
        <v>15.510204081632653</v>
      </c>
      <c r="S466" s="580">
        <f>SUM(S458)</f>
        <v>234</v>
      </c>
      <c r="T466" s="582">
        <f>SUM(S466/L466)*100</f>
        <v>15.918367346938775</v>
      </c>
      <c r="U466" s="389"/>
      <c r="V466" s="389"/>
    </row>
    <row r="467" spans="1:10" ht="15.75">
      <c r="A467" s="165"/>
      <c r="B467" s="165"/>
      <c r="C467" s="165"/>
      <c r="D467" s="165"/>
      <c r="E467" s="165"/>
      <c r="F467" s="165"/>
      <c r="G467" s="236"/>
      <c r="H467" s="236"/>
      <c r="I467" s="236"/>
      <c r="J467" s="236"/>
    </row>
    <row r="468" spans="1:8" ht="12.75">
      <c r="A468" s="12"/>
      <c r="B468" s="12"/>
      <c r="C468" s="70"/>
      <c r="D468" s="12"/>
      <c r="E468" s="12"/>
      <c r="F468" s="12"/>
      <c r="G468" s="52"/>
      <c r="H468" s="52"/>
    </row>
    <row r="469" spans="1:8" ht="12.75">
      <c r="A469" s="12" t="s">
        <v>960</v>
      </c>
      <c r="B469" s="12"/>
      <c r="C469" s="70"/>
      <c r="D469" s="12"/>
      <c r="E469" s="12"/>
      <c r="F469" s="12"/>
      <c r="G469" s="52"/>
      <c r="H469" s="52"/>
    </row>
    <row r="470" spans="1:8" ht="12.75">
      <c r="A470" s="12" t="s">
        <v>936</v>
      </c>
      <c r="B470" s="12"/>
      <c r="C470" s="70"/>
      <c r="D470" s="12"/>
      <c r="E470" s="12"/>
      <c r="F470" s="12"/>
      <c r="G470" s="52"/>
      <c r="H470" s="52"/>
    </row>
    <row r="471" spans="1:8" ht="12.75">
      <c r="A471" s="237" t="s">
        <v>961</v>
      </c>
      <c r="B471" s="12"/>
      <c r="C471" s="70"/>
      <c r="D471" s="12"/>
      <c r="E471" s="12"/>
      <c r="F471" s="12"/>
      <c r="G471" s="52"/>
      <c r="H471" s="52"/>
    </row>
    <row r="472" spans="1:8" ht="12.75">
      <c r="A472" s="237" t="s">
        <v>970</v>
      </c>
      <c r="B472" s="12"/>
      <c r="C472" s="70"/>
      <c r="D472" s="12"/>
      <c r="E472" s="12"/>
      <c r="F472" s="12"/>
      <c r="G472" s="52"/>
      <c r="H472" s="52"/>
    </row>
    <row r="473" spans="1:8" ht="12.75">
      <c r="A473" s="12" t="s">
        <v>975</v>
      </c>
      <c r="B473" s="12"/>
      <c r="C473" s="70"/>
      <c r="D473" s="12"/>
      <c r="E473" s="12"/>
      <c r="F473" s="12"/>
      <c r="G473" s="52"/>
      <c r="H473" s="52"/>
    </row>
    <row r="474" spans="1:8" ht="12.75">
      <c r="A474" s="12" t="s">
        <v>976</v>
      </c>
      <c r="B474" s="12"/>
      <c r="C474" s="70"/>
      <c r="D474" s="12"/>
      <c r="E474" s="12"/>
      <c r="F474" s="12"/>
      <c r="G474" s="52"/>
      <c r="H474" s="52"/>
    </row>
    <row r="475" spans="1:8" ht="12.75">
      <c r="A475" s="237" t="s">
        <v>978</v>
      </c>
      <c r="B475" s="12"/>
      <c r="C475" s="70"/>
      <c r="D475" s="12"/>
      <c r="E475" s="12"/>
      <c r="F475" s="12"/>
      <c r="G475" s="52"/>
      <c r="H475" s="52"/>
    </row>
    <row r="476" spans="1:8" ht="12.75">
      <c r="A476" s="12" t="s">
        <v>977</v>
      </c>
      <c r="B476" s="12"/>
      <c r="C476" s="70"/>
      <c r="D476" s="12"/>
      <c r="E476" s="12"/>
      <c r="F476" s="12"/>
      <c r="G476" s="52"/>
      <c r="H476" s="52"/>
    </row>
    <row r="477" spans="1:8" ht="12.75">
      <c r="A477" s="237" t="s">
        <v>979</v>
      </c>
      <c r="B477" s="12"/>
      <c r="C477" s="70"/>
      <c r="D477" s="12"/>
      <c r="E477" s="12"/>
      <c r="F477" s="12"/>
      <c r="G477" s="52"/>
      <c r="H477" s="52"/>
    </row>
    <row r="478" spans="1:8" ht="12.75">
      <c r="A478" s="55" t="s">
        <v>981</v>
      </c>
      <c r="B478" s="12"/>
      <c r="C478" s="70"/>
      <c r="D478" s="12"/>
      <c r="E478" s="12"/>
      <c r="F478" s="12"/>
      <c r="G478" s="52"/>
      <c r="H478" s="52"/>
    </row>
    <row r="479" spans="1:8" ht="12.75">
      <c r="A479" s="12" t="s">
        <v>980</v>
      </c>
      <c r="B479" s="12"/>
      <c r="C479" s="70"/>
      <c r="D479" s="12"/>
      <c r="E479" s="12"/>
      <c r="F479" s="12"/>
      <c r="G479" s="52"/>
      <c r="H479" s="52"/>
    </row>
    <row r="480" spans="1:8" ht="12.75">
      <c r="A480" s="55" t="s">
        <v>982</v>
      </c>
      <c r="B480" s="12"/>
      <c r="C480" s="70"/>
      <c r="D480" s="12"/>
      <c r="E480" s="12"/>
      <c r="F480" s="12"/>
      <c r="G480" s="52"/>
      <c r="H480" s="52"/>
    </row>
    <row r="481" spans="1:8" ht="12.75">
      <c r="A481" s="12" t="s">
        <v>983</v>
      </c>
      <c r="B481" s="12"/>
      <c r="C481" s="70"/>
      <c r="D481" s="12"/>
      <c r="E481" s="12"/>
      <c r="F481" s="12"/>
      <c r="G481" s="52"/>
      <c r="H481" s="52"/>
    </row>
    <row r="482" spans="1:8" ht="12.75">
      <c r="A482" s="12" t="s">
        <v>305</v>
      </c>
      <c r="B482" s="12"/>
      <c r="C482" s="70"/>
      <c r="D482" s="12"/>
      <c r="E482" s="12"/>
      <c r="F482" s="12"/>
      <c r="G482" s="52"/>
      <c r="H482" s="52"/>
    </row>
    <row r="483" spans="1:8" ht="12.75">
      <c r="A483" s="12" t="s">
        <v>306</v>
      </c>
      <c r="B483" s="12"/>
      <c r="C483" s="70"/>
      <c r="D483" s="12"/>
      <c r="E483" s="12"/>
      <c r="F483" s="12"/>
      <c r="G483" s="52"/>
      <c r="H483" s="52"/>
    </row>
    <row r="484" spans="1:8" ht="12.75">
      <c r="A484" s="12" t="s">
        <v>307</v>
      </c>
      <c r="B484" s="12"/>
      <c r="C484" s="70"/>
      <c r="D484" s="12"/>
      <c r="E484" s="12"/>
      <c r="F484" s="12"/>
      <c r="G484" s="52"/>
      <c r="H484" s="52"/>
    </row>
    <row r="485" spans="1:8" ht="12.75">
      <c r="A485" s="55" t="s">
        <v>829</v>
      </c>
      <c r="B485" s="12"/>
      <c r="C485" s="70"/>
      <c r="D485" s="12"/>
      <c r="E485" s="12"/>
      <c r="F485" s="12"/>
      <c r="G485" s="52"/>
      <c r="H485" s="52"/>
    </row>
    <row r="486" spans="1:8" ht="12.75">
      <c r="A486" s="55" t="s">
        <v>309</v>
      </c>
      <c r="B486" s="12"/>
      <c r="C486" s="70"/>
      <c r="D486" s="12"/>
      <c r="E486" s="12"/>
      <c r="F486" s="12"/>
      <c r="G486" s="52"/>
      <c r="H486" s="52"/>
    </row>
    <row r="487" spans="1:8" ht="12.75">
      <c r="A487" s="12" t="s">
        <v>308</v>
      </c>
      <c r="B487" s="12"/>
      <c r="C487" s="70"/>
      <c r="D487" s="12"/>
      <c r="E487" s="12"/>
      <c r="F487" s="12"/>
      <c r="G487" s="52"/>
      <c r="H487" s="52"/>
    </row>
    <row r="488" spans="1:8" ht="12.75">
      <c r="A488" s="237" t="s">
        <v>984</v>
      </c>
      <c r="B488" s="12"/>
      <c r="C488" s="70"/>
      <c r="D488" s="12"/>
      <c r="E488" s="12"/>
      <c r="F488" s="12"/>
      <c r="G488" s="52"/>
      <c r="H488" s="52"/>
    </row>
    <row r="489" spans="1:8" ht="12.75">
      <c r="A489" s="12" t="s">
        <v>985</v>
      </c>
      <c r="B489" s="12"/>
      <c r="C489" s="70"/>
      <c r="D489" s="12"/>
      <c r="E489" s="12"/>
      <c r="F489" s="12"/>
      <c r="G489" s="52"/>
      <c r="H489" s="52"/>
    </row>
    <row r="490" spans="1:8" ht="12.75">
      <c r="A490" s="12" t="s">
        <v>986</v>
      </c>
      <c r="B490" s="12"/>
      <c r="C490" s="70"/>
      <c r="D490" s="12"/>
      <c r="E490" s="12"/>
      <c r="F490" s="12"/>
      <c r="G490" s="52"/>
      <c r="H490" s="52"/>
    </row>
    <row r="491" spans="1:8" ht="12.75">
      <c r="A491" s="237" t="s">
        <v>989</v>
      </c>
      <c r="B491" s="12"/>
      <c r="C491" s="70"/>
      <c r="D491" s="12"/>
      <c r="E491" s="12"/>
      <c r="F491" s="12"/>
      <c r="G491" s="52"/>
      <c r="H491" s="52"/>
    </row>
    <row r="492" spans="1:8" ht="12.75">
      <c r="A492" s="12" t="s">
        <v>987</v>
      </c>
      <c r="B492" s="12"/>
      <c r="C492" s="70"/>
      <c r="D492" s="12"/>
      <c r="E492" s="12"/>
      <c r="F492" s="12"/>
      <c r="G492" s="52"/>
      <c r="H492" s="52"/>
    </row>
    <row r="493" spans="1:8" ht="12.75">
      <c r="A493" s="55" t="s">
        <v>991</v>
      </c>
      <c r="B493" s="12"/>
      <c r="C493" s="70"/>
      <c r="D493" s="12"/>
      <c r="E493" s="12"/>
      <c r="F493" s="12"/>
      <c r="G493" s="52"/>
      <c r="H493" s="52"/>
    </row>
    <row r="494" spans="1:8" ht="12.75">
      <c r="A494" s="12" t="s">
        <v>990</v>
      </c>
      <c r="B494" s="12"/>
      <c r="C494" s="70"/>
      <c r="D494" s="12"/>
      <c r="E494" s="12"/>
      <c r="F494" s="12"/>
      <c r="G494" s="52"/>
      <c r="H494" s="52"/>
    </row>
    <row r="495" spans="1:8" ht="12.75">
      <c r="A495" s="237" t="s">
        <v>988</v>
      </c>
      <c r="B495" s="12"/>
      <c r="C495" s="70"/>
      <c r="D495" s="12"/>
      <c r="E495" s="12"/>
      <c r="F495" s="12"/>
      <c r="G495" s="52"/>
      <c r="H495" s="52"/>
    </row>
    <row r="496" spans="1:8" ht="12.75">
      <c r="A496" s="55" t="s">
        <v>298</v>
      </c>
      <c r="B496" s="12"/>
      <c r="C496" s="70"/>
      <c r="D496" s="12"/>
      <c r="E496" s="12"/>
      <c r="F496" s="12"/>
      <c r="G496" s="52"/>
      <c r="H496" s="52"/>
    </row>
    <row r="497" spans="1:8" ht="12.75">
      <c r="A497" s="55" t="s">
        <v>614</v>
      </c>
      <c r="B497" s="12"/>
      <c r="C497" s="70"/>
      <c r="D497" s="12"/>
      <c r="E497" s="12"/>
      <c r="F497" s="12"/>
      <c r="G497" s="52"/>
      <c r="H497" s="52"/>
    </row>
    <row r="498" spans="1:8" ht="12.75">
      <c r="A498" s="55" t="s">
        <v>822</v>
      </c>
      <c r="B498" s="12"/>
      <c r="C498" s="70"/>
      <c r="D498" s="12"/>
      <c r="E498" s="12"/>
      <c r="F498" s="12"/>
      <c r="G498" s="52"/>
      <c r="H498" s="52"/>
    </row>
    <row r="499" spans="1:22" s="131" customFormat="1" ht="12.75">
      <c r="A499" s="24" t="s">
        <v>823</v>
      </c>
      <c r="B499" s="24"/>
      <c r="C499" s="70"/>
      <c r="D499" s="24"/>
      <c r="E499" s="24"/>
      <c r="F499" s="24"/>
      <c r="G499" s="91"/>
      <c r="H499" s="91"/>
      <c r="L499" s="389"/>
      <c r="M499" s="389"/>
      <c r="N499" s="681"/>
      <c r="O499" s="389"/>
      <c r="Q499" s="389"/>
      <c r="S499" s="389"/>
      <c r="U499" s="389"/>
      <c r="V499" s="389"/>
    </row>
    <row r="500" spans="1:8" ht="12.75">
      <c r="A500" s="55" t="s">
        <v>299</v>
      </c>
      <c r="B500" s="12"/>
      <c r="C500" s="70"/>
      <c r="D500" s="12"/>
      <c r="E500" s="12"/>
      <c r="F500" s="12"/>
      <c r="G500" s="52"/>
      <c r="H500" s="52"/>
    </row>
    <row r="501" spans="1:22" s="131" customFormat="1" ht="12.75">
      <c r="A501" s="24" t="s">
        <v>300</v>
      </c>
      <c r="B501" s="24"/>
      <c r="C501" s="70"/>
      <c r="D501" s="24"/>
      <c r="E501" s="24"/>
      <c r="F501" s="24"/>
      <c r="G501" s="91"/>
      <c r="H501" s="91"/>
      <c r="L501" s="389"/>
      <c r="M501" s="389"/>
      <c r="N501" s="681"/>
      <c r="O501" s="389"/>
      <c r="Q501" s="389"/>
      <c r="S501" s="389"/>
      <c r="U501" s="389"/>
      <c r="V501" s="389"/>
    </row>
    <row r="502" spans="1:8" ht="12.75">
      <c r="A502" s="55" t="s">
        <v>303</v>
      </c>
      <c r="B502" s="12"/>
      <c r="C502" s="70"/>
      <c r="D502" s="12"/>
      <c r="E502" s="12"/>
      <c r="F502" s="12"/>
      <c r="G502" s="52"/>
      <c r="H502" s="52"/>
    </row>
    <row r="503" spans="1:8" ht="12.75">
      <c r="A503" s="12" t="s">
        <v>995</v>
      </c>
      <c r="B503" s="12"/>
      <c r="C503" s="70"/>
      <c r="D503" s="12"/>
      <c r="E503" s="12"/>
      <c r="F503" s="12"/>
      <c r="G503" s="52"/>
      <c r="H503" s="52"/>
    </row>
    <row r="504" spans="1:8" ht="12.75">
      <c r="A504" s="12" t="s">
        <v>996</v>
      </c>
      <c r="B504" s="12"/>
      <c r="C504" s="70"/>
      <c r="D504" s="12"/>
      <c r="E504" s="12"/>
      <c r="F504" s="12"/>
      <c r="G504" s="52"/>
      <c r="H504" s="52"/>
    </row>
    <row r="505" spans="1:8" ht="12.75">
      <c r="A505" s="55" t="s">
        <v>304</v>
      </c>
      <c r="B505" s="12"/>
      <c r="C505" s="70"/>
      <c r="D505" s="12"/>
      <c r="E505" s="12"/>
      <c r="F505" s="12"/>
      <c r="G505" s="52"/>
      <c r="H505" s="52"/>
    </row>
    <row r="506" spans="1:8" ht="12.75">
      <c r="A506" s="55" t="s">
        <v>830</v>
      </c>
      <c r="B506" s="12"/>
      <c r="C506" s="70"/>
      <c r="D506" s="12"/>
      <c r="E506" s="12"/>
      <c r="F506" s="12"/>
      <c r="G506" s="52"/>
      <c r="H506" s="52"/>
    </row>
    <row r="507" spans="1:22" s="131" customFormat="1" ht="12.75">
      <c r="A507" s="24" t="s">
        <v>831</v>
      </c>
      <c r="B507" s="24"/>
      <c r="C507" s="70"/>
      <c r="D507" s="24"/>
      <c r="E507" s="24"/>
      <c r="F507" s="24"/>
      <c r="G507" s="91"/>
      <c r="H507" s="91"/>
      <c r="L507" s="389"/>
      <c r="M507" s="389"/>
      <c r="N507" s="681"/>
      <c r="O507" s="389"/>
      <c r="Q507" s="389"/>
      <c r="S507" s="389"/>
      <c r="U507" s="389"/>
      <c r="V507" s="389"/>
    </row>
    <row r="508" spans="1:22" s="131" customFormat="1" ht="12.75">
      <c r="A508" s="24" t="s">
        <v>832</v>
      </c>
      <c r="B508" s="24"/>
      <c r="C508" s="70"/>
      <c r="D508" s="24"/>
      <c r="E508" s="24"/>
      <c r="F508" s="24"/>
      <c r="G508" s="91"/>
      <c r="H508" s="91"/>
      <c r="L508" s="389"/>
      <c r="M508" s="389"/>
      <c r="N508" s="681"/>
      <c r="O508" s="389"/>
      <c r="Q508" s="389"/>
      <c r="S508" s="389"/>
      <c r="U508" s="389"/>
      <c r="V508" s="389"/>
    </row>
    <row r="509" spans="1:22" s="131" customFormat="1" ht="12.75">
      <c r="A509" s="24" t="s">
        <v>833</v>
      </c>
      <c r="B509" s="24"/>
      <c r="C509" s="70"/>
      <c r="D509" s="24"/>
      <c r="E509" s="24"/>
      <c r="F509" s="24"/>
      <c r="G509" s="91"/>
      <c r="H509" s="91"/>
      <c r="L509" s="389"/>
      <c r="M509" s="389"/>
      <c r="N509" s="681"/>
      <c r="O509" s="389"/>
      <c r="Q509" s="389"/>
      <c r="S509" s="389"/>
      <c r="U509" s="389"/>
      <c r="V509" s="389"/>
    </row>
    <row r="510" spans="1:22" s="131" customFormat="1" ht="12.75">
      <c r="A510" s="24" t="s">
        <v>834</v>
      </c>
      <c r="B510" s="24"/>
      <c r="C510" s="70"/>
      <c r="D510" s="24"/>
      <c r="E510" s="24"/>
      <c r="F510" s="24"/>
      <c r="G510" s="91"/>
      <c r="H510" s="91"/>
      <c r="L510" s="389"/>
      <c r="M510" s="389"/>
      <c r="N510" s="681"/>
      <c r="O510" s="389"/>
      <c r="Q510" s="389"/>
      <c r="S510" s="389"/>
      <c r="U510" s="389"/>
      <c r="V510" s="389"/>
    </row>
    <row r="511" spans="1:8" ht="12.75">
      <c r="A511" s="55" t="s">
        <v>992</v>
      </c>
      <c r="B511" s="12"/>
      <c r="C511" s="70"/>
      <c r="D511" s="12"/>
      <c r="E511" s="12"/>
      <c r="F511" s="12"/>
      <c r="G511" s="52"/>
      <c r="H511" s="52"/>
    </row>
    <row r="512" spans="1:8" ht="12.75">
      <c r="A512" s="55" t="s">
        <v>994</v>
      </c>
      <c r="B512" s="12"/>
      <c r="C512" s="70"/>
      <c r="D512" s="12"/>
      <c r="E512" s="12"/>
      <c r="F512" s="12"/>
      <c r="G512" s="52"/>
      <c r="H512" s="52"/>
    </row>
    <row r="513" spans="1:8" ht="12.75">
      <c r="A513" s="12" t="s">
        <v>993</v>
      </c>
      <c r="B513" s="12"/>
      <c r="C513" s="70"/>
      <c r="D513" s="12"/>
      <c r="E513" s="12"/>
      <c r="F513" s="12"/>
      <c r="G513" s="52"/>
      <c r="H513" s="52"/>
    </row>
    <row r="514" spans="1:8" ht="12.75">
      <c r="A514" s="55" t="s">
        <v>998</v>
      </c>
      <c r="B514" s="12"/>
      <c r="C514" s="70"/>
      <c r="D514" s="12"/>
      <c r="E514" s="12"/>
      <c r="F514" s="12"/>
      <c r="G514" s="52"/>
      <c r="H514" s="52"/>
    </row>
    <row r="515" spans="1:8" ht="12.75">
      <c r="A515" s="12" t="s">
        <v>997</v>
      </c>
      <c r="B515" s="12"/>
      <c r="C515" s="70"/>
      <c r="D515" s="12"/>
      <c r="E515" s="12"/>
      <c r="F515" s="12"/>
      <c r="G515" s="52"/>
      <c r="H515" s="52"/>
    </row>
    <row r="516" spans="1:8" ht="12.75">
      <c r="A516" s="55" t="s">
        <v>824</v>
      </c>
      <c r="B516" s="12"/>
      <c r="C516" s="70"/>
      <c r="D516" s="12"/>
      <c r="E516" s="12"/>
      <c r="F516" s="12"/>
      <c r="G516" s="52"/>
      <c r="H516" s="52"/>
    </row>
    <row r="517" spans="1:22" s="131" customFormat="1" ht="12.75">
      <c r="A517" s="24" t="s">
        <v>825</v>
      </c>
      <c r="B517" s="24"/>
      <c r="C517" s="70"/>
      <c r="D517" s="24"/>
      <c r="E517" s="24"/>
      <c r="F517" s="24"/>
      <c r="G517" s="91"/>
      <c r="H517" s="91"/>
      <c r="L517" s="389"/>
      <c r="M517" s="389"/>
      <c r="N517" s="681"/>
      <c r="O517" s="389"/>
      <c r="Q517" s="389"/>
      <c r="S517" s="389"/>
      <c r="U517" s="389"/>
      <c r="V517" s="389"/>
    </row>
    <row r="518" spans="1:22" s="131" customFormat="1" ht="12.75">
      <c r="A518" s="24" t="s">
        <v>827</v>
      </c>
      <c r="B518" s="24"/>
      <c r="C518" s="70"/>
      <c r="D518" s="24"/>
      <c r="E518" s="24"/>
      <c r="F518" s="24"/>
      <c r="G518" s="91"/>
      <c r="H518" s="91"/>
      <c r="L518" s="389"/>
      <c r="M518" s="389"/>
      <c r="N518" s="681"/>
      <c r="O518" s="389"/>
      <c r="Q518" s="389"/>
      <c r="S518" s="389"/>
      <c r="U518" s="389"/>
      <c r="V518" s="389"/>
    </row>
    <row r="519" spans="1:8" ht="12.75">
      <c r="A519" s="55" t="s">
        <v>826</v>
      </c>
      <c r="B519" s="12"/>
      <c r="C519" s="70"/>
      <c r="D519" s="12"/>
      <c r="E519" s="12"/>
      <c r="F519" s="12"/>
      <c r="G519" s="52"/>
      <c r="H519" s="52"/>
    </row>
    <row r="520" spans="1:8" ht="12.75">
      <c r="A520" s="12" t="s">
        <v>828</v>
      </c>
      <c r="B520" s="12"/>
      <c r="C520" s="70"/>
      <c r="D520" s="12"/>
      <c r="E520" s="12"/>
      <c r="F520" s="12"/>
      <c r="G520" s="52"/>
      <c r="H520" s="52"/>
    </row>
    <row r="521" spans="1:8" ht="12.75">
      <c r="A521" s="55" t="s">
        <v>862</v>
      </c>
      <c r="B521" s="12"/>
      <c r="C521" s="70"/>
      <c r="D521" s="12"/>
      <c r="E521" s="12"/>
      <c r="F521" s="12"/>
      <c r="G521" s="52"/>
      <c r="H521" s="52"/>
    </row>
    <row r="522" spans="1:8" ht="12.75">
      <c r="A522" s="55" t="s">
        <v>928</v>
      </c>
      <c r="B522" s="12"/>
      <c r="C522" s="70"/>
      <c r="D522" s="12"/>
      <c r="E522" s="12"/>
      <c r="F522" s="12"/>
      <c r="G522" s="52"/>
      <c r="H522" s="52"/>
    </row>
    <row r="523" spans="1:8" ht="12.75">
      <c r="A523" s="55" t="s">
        <v>836</v>
      </c>
      <c r="B523" s="12"/>
      <c r="C523" s="70"/>
      <c r="D523" s="12"/>
      <c r="E523" s="12"/>
      <c r="F523" s="12"/>
      <c r="G523" s="52"/>
      <c r="H523" s="52"/>
    </row>
    <row r="524" spans="1:22" s="131" customFormat="1" ht="12.75">
      <c r="A524" s="24" t="s">
        <v>837</v>
      </c>
      <c r="B524" s="24"/>
      <c r="C524" s="70"/>
      <c r="D524" s="24"/>
      <c r="E524" s="24"/>
      <c r="F524" s="24"/>
      <c r="G524" s="91"/>
      <c r="H524" s="91"/>
      <c r="L524" s="389"/>
      <c r="M524" s="389"/>
      <c r="N524" s="681"/>
      <c r="O524" s="389"/>
      <c r="Q524" s="389"/>
      <c r="S524" s="389"/>
      <c r="U524" s="389"/>
      <c r="V524" s="389"/>
    </row>
    <row r="525" spans="1:22" s="131" customFormat="1" ht="12.75">
      <c r="A525" s="24" t="s">
        <v>835</v>
      </c>
      <c r="B525" s="24"/>
      <c r="C525" s="70"/>
      <c r="D525" s="24"/>
      <c r="E525" s="24"/>
      <c r="F525" s="24"/>
      <c r="G525" s="91"/>
      <c r="H525" s="91"/>
      <c r="L525" s="389"/>
      <c r="M525" s="389"/>
      <c r="N525" s="681"/>
      <c r="O525" s="389"/>
      <c r="Q525" s="389"/>
      <c r="S525" s="389"/>
      <c r="U525" s="389"/>
      <c r="V525" s="389"/>
    </row>
    <row r="526" spans="1:8" ht="12.75">
      <c r="A526" s="55" t="s">
        <v>971</v>
      </c>
      <c r="B526" s="12"/>
      <c r="C526" s="70"/>
      <c r="D526" s="12"/>
      <c r="E526" s="12"/>
      <c r="F526" s="12"/>
      <c r="G526" s="52"/>
      <c r="H526" s="52"/>
    </row>
    <row r="527" spans="1:8" ht="12.75">
      <c r="A527" s="55" t="s">
        <v>336</v>
      </c>
      <c r="B527" s="12"/>
      <c r="C527" s="70"/>
      <c r="D527" s="12"/>
      <c r="E527" s="12"/>
      <c r="F527" s="12"/>
      <c r="G527" s="52"/>
      <c r="H527" s="52"/>
    </row>
    <row r="528" spans="1:8" ht="12.75">
      <c r="A528" s="12" t="s">
        <v>337</v>
      </c>
      <c r="B528" s="12"/>
      <c r="C528" s="70"/>
      <c r="D528" s="12"/>
      <c r="E528" s="12"/>
      <c r="F528" s="12"/>
      <c r="G528" s="52"/>
      <c r="H528" s="52"/>
    </row>
    <row r="529" spans="1:8" ht="12.75">
      <c r="A529" s="55" t="s">
        <v>883</v>
      </c>
      <c r="B529" s="12"/>
      <c r="C529" s="70"/>
      <c r="D529" s="12"/>
      <c r="E529" s="12"/>
      <c r="F529" s="12"/>
      <c r="G529" s="52"/>
      <c r="H529" s="52"/>
    </row>
    <row r="530" spans="1:8" ht="12.75">
      <c r="A530" s="12"/>
      <c r="B530" s="12"/>
      <c r="C530" s="70"/>
      <c r="D530" s="12"/>
      <c r="E530" s="12"/>
      <c r="F530" s="12"/>
      <c r="G530" s="52"/>
      <c r="H530" s="52"/>
    </row>
    <row r="531" spans="1:22" s="109" customFormat="1" ht="12.75">
      <c r="A531" s="237" t="s">
        <v>38</v>
      </c>
      <c r="B531" s="237"/>
      <c r="C531" s="337"/>
      <c r="D531" s="237"/>
      <c r="E531" s="237"/>
      <c r="F531" s="237"/>
      <c r="G531" s="122"/>
      <c r="H531" s="122"/>
      <c r="L531" s="121"/>
      <c r="M531" s="121"/>
      <c r="N531" s="711"/>
      <c r="O531" s="121"/>
      <c r="Q531" s="121"/>
      <c r="S531" s="121"/>
      <c r="U531" s="121"/>
      <c r="V531" s="121"/>
    </row>
    <row r="532" spans="1:22" s="109" customFormat="1" ht="12.75">
      <c r="A532" s="237"/>
      <c r="B532" s="237"/>
      <c r="C532" s="337"/>
      <c r="D532" s="237"/>
      <c r="E532" s="237"/>
      <c r="F532" s="237"/>
      <c r="G532" s="122"/>
      <c r="H532" s="122"/>
      <c r="L532" s="121"/>
      <c r="M532" s="121"/>
      <c r="N532" s="711"/>
      <c r="O532" s="121"/>
      <c r="Q532" s="121"/>
      <c r="S532" s="121"/>
      <c r="U532" s="121"/>
      <c r="V532" s="121"/>
    </row>
    <row r="533" spans="1:22" s="131" customFormat="1" ht="12.75">
      <c r="A533" s="237" t="s">
        <v>934</v>
      </c>
      <c r="B533" s="24"/>
      <c r="C533" s="70"/>
      <c r="D533" s="24"/>
      <c r="E533" s="24"/>
      <c r="F533" s="24"/>
      <c r="G533" s="91"/>
      <c r="H533" s="91"/>
      <c r="L533" s="389"/>
      <c r="M533" s="389"/>
      <c r="N533" s="681"/>
      <c r="O533" s="389"/>
      <c r="Q533" s="389"/>
      <c r="S533" s="389"/>
      <c r="U533" s="389"/>
      <c r="V533" s="389"/>
    </row>
    <row r="534" spans="1:22" s="88" customFormat="1" ht="12.75">
      <c r="A534" s="237" t="s">
        <v>95</v>
      </c>
      <c r="B534" s="55"/>
      <c r="C534" s="203"/>
      <c r="D534" s="55"/>
      <c r="E534" s="55"/>
      <c r="F534" s="55"/>
      <c r="G534" s="57"/>
      <c r="H534" s="57"/>
      <c r="L534" s="397"/>
      <c r="M534" s="397"/>
      <c r="N534" s="712"/>
      <c r="O534" s="397"/>
      <c r="Q534" s="397"/>
      <c r="S534" s="397"/>
      <c r="U534" s="397"/>
      <c r="V534" s="397"/>
    </row>
    <row r="535" spans="1:22" s="109" customFormat="1" ht="12.75">
      <c r="A535" s="55" t="s">
        <v>929</v>
      </c>
      <c r="B535" s="237"/>
      <c r="C535" s="337"/>
      <c r="D535" s="237"/>
      <c r="E535" s="237"/>
      <c r="F535" s="237"/>
      <c r="G535" s="122"/>
      <c r="H535" s="122"/>
      <c r="L535" s="121"/>
      <c r="M535" s="121"/>
      <c r="N535" s="711"/>
      <c r="O535" s="121"/>
      <c r="Q535" s="121"/>
      <c r="S535" s="121"/>
      <c r="U535" s="121"/>
      <c r="V535" s="121"/>
    </row>
    <row r="536" spans="1:22" s="131" customFormat="1" ht="12.75">
      <c r="A536" s="24" t="s">
        <v>930</v>
      </c>
      <c r="B536" s="24"/>
      <c r="C536" s="70"/>
      <c r="D536" s="24"/>
      <c r="E536" s="24"/>
      <c r="F536" s="24"/>
      <c r="G536" s="91"/>
      <c r="H536" s="91"/>
      <c r="L536" s="389"/>
      <c r="M536" s="389"/>
      <c r="N536" s="681"/>
      <c r="O536" s="389"/>
      <c r="Q536" s="389"/>
      <c r="S536" s="389"/>
      <c r="U536" s="389"/>
      <c r="V536" s="389"/>
    </row>
    <row r="537" spans="1:22" s="109" customFormat="1" ht="12.75">
      <c r="A537" s="55" t="s">
        <v>931</v>
      </c>
      <c r="B537" s="237"/>
      <c r="C537" s="337"/>
      <c r="D537" s="237"/>
      <c r="E537" s="237"/>
      <c r="F537" s="237"/>
      <c r="G537" s="122"/>
      <c r="H537" s="122"/>
      <c r="L537" s="121"/>
      <c r="M537" s="121"/>
      <c r="N537" s="711"/>
      <c r="O537" s="121"/>
      <c r="Q537" s="121"/>
      <c r="S537" s="121"/>
      <c r="U537" s="121"/>
      <c r="V537" s="121"/>
    </row>
    <row r="538" spans="1:22" s="109" customFormat="1" ht="12.75">
      <c r="A538" s="237" t="s">
        <v>939</v>
      </c>
      <c r="B538" s="237"/>
      <c r="C538" s="337"/>
      <c r="D538" s="237"/>
      <c r="E538" s="237"/>
      <c r="F538" s="237"/>
      <c r="G538" s="122"/>
      <c r="H538" s="122"/>
      <c r="L538" s="121"/>
      <c r="M538" s="121"/>
      <c r="N538" s="711"/>
      <c r="O538" s="121"/>
      <c r="Q538" s="121"/>
      <c r="S538" s="121"/>
      <c r="U538" s="121"/>
      <c r="V538" s="121"/>
    </row>
    <row r="539" spans="1:22" s="109" customFormat="1" ht="12.75">
      <c r="A539" s="237" t="s">
        <v>940</v>
      </c>
      <c r="B539" s="237"/>
      <c r="C539" s="337"/>
      <c r="D539" s="237"/>
      <c r="E539" s="237"/>
      <c r="F539" s="237"/>
      <c r="G539" s="122"/>
      <c r="H539" s="122"/>
      <c r="L539" s="121"/>
      <c r="M539" s="121"/>
      <c r="N539" s="711"/>
      <c r="O539" s="121"/>
      <c r="Q539" s="121"/>
      <c r="S539" s="121"/>
      <c r="U539" s="121"/>
      <c r="V539" s="121"/>
    </row>
    <row r="540" spans="1:22" s="109" customFormat="1" ht="12.75">
      <c r="A540" s="55" t="s">
        <v>932</v>
      </c>
      <c r="B540" s="237"/>
      <c r="C540" s="337"/>
      <c r="D540" s="237"/>
      <c r="E540" s="237"/>
      <c r="F540" s="237"/>
      <c r="G540" s="122"/>
      <c r="H540" s="122"/>
      <c r="L540" s="121"/>
      <c r="M540" s="121"/>
      <c r="N540" s="711"/>
      <c r="O540" s="121"/>
      <c r="Q540" s="121"/>
      <c r="S540" s="121"/>
      <c r="U540" s="121"/>
      <c r="V540" s="121"/>
    </row>
    <row r="541" spans="1:22" s="131" customFormat="1" ht="12.75">
      <c r="A541" s="24" t="s">
        <v>933</v>
      </c>
      <c r="B541" s="24"/>
      <c r="C541" s="70"/>
      <c r="D541" s="24"/>
      <c r="E541" s="24"/>
      <c r="F541" s="24"/>
      <c r="G541" s="91"/>
      <c r="H541" s="91"/>
      <c r="L541" s="389"/>
      <c r="M541" s="389"/>
      <c r="N541" s="681"/>
      <c r="O541" s="389"/>
      <c r="Q541" s="389"/>
      <c r="S541" s="389"/>
      <c r="U541" s="389"/>
      <c r="V541" s="389"/>
    </row>
    <row r="542" spans="1:22" s="109" customFormat="1" ht="12.75">
      <c r="A542" s="237" t="s">
        <v>941</v>
      </c>
      <c r="B542" s="237"/>
      <c r="C542" s="337"/>
      <c r="D542" s="237"/>
      <c r="E542" s="237"/>
      <c r="F542" s="237"/>
      <c r="G542" s="122"/>
      <c r="H542" s="122"/>
      <c r="L542" s="121"/>
      <c r="M542" s="121"/>
      <c r="N542" s="711"/>
      <c r="O542" s="121"/>
      <c r="Q542" s="121"/>
      <c r="S542" s="121"/>
      <c r="U542" s="121"/>
      <c r="V542" s="121"/>
    </row>
    <row r="543" spans="1:22" s="109" customFormat="1" ht="12.75">
      <c r="A543" s="237"/>
      <c r="B543" s="237"/>
      <c r="C543" s="337"/>
      <c r="D543" s="237"/>
      <c r="E543" s="237"/>
      <c r="F543" s="237"/>
      <c r="G543" s="122"/>
      <c r="H543" s="122"/>
      <c r="L543" s="121"/>
      <c r="M543" s="121"/>
      <c r="N543" s="711"/>
      <c r="O543" s="121"/>
      <c r="Q543" s="121"/>
      <c r="S543" s="121"/>
      <c r="U543" s="121"/>
      <c r="V543" s="121"/>
    </row>
    <row r="544" spans="1:22" s="109" customFormat="1" ht="12.75">
      <c r="A544" s="237" t="s">
        <v>903</v>
      </c>
      <c r="B544" s="237"/>
      <c r="C544" s="337"/>
      <c r="D544" s="237"/>
      <c r="E544" s="237"/>
      <c r="F544" s="237"/>
      <c r="G544" s="122"/>
      <c r="H544" s="122"/>
      <c r="L544" s="121"/>
      <c r="M544" s="121"/>
      <c r="N544" s="711"/>
      <c r="O544" s="121"/>
      <c r="Q544" s="121"/>
      <c r="S544" s="121"/>
      <c r="U544" s="121"/>
      <c r="V544" s="121"/>
    </row>
    <row r="545" spans="1:22" s="109" customFormat="1" ht="12.75">
      <c r="A545" s="237"/>
      <c r="B545" s="237"/>
      <c r="C545" s="337"/>
      <c r="D545" s="237"/>
      <c r="E545" s="237"/>
      <c r="F545" s="237"/>
      <c r="G545" s="122"/>
      <c r="H545" s="122"/>
      <c r="L545" s="121"/>
      <c r="M545" s="121"/>
      <c r="N545" s="711"/>
      <c r="O545" s="121"/>
      <c r="Q545" s="121"/>
      <c r="S545" s="121"/>
      <c r="U545" s="121"/>
      <c r="V545" s="121"/>
    </row>
    <row r="546" spans="1:22" s="109" customFormat="1" ht="12.75">
      <c r="A546" s="237" t="s">
        <v>942</v>
      </c>
      <c r="B546" s="237"/>
      <c r="C546" s="337"/>
      <c r="D546" s="237"/>
      <c r="E546" s="237"/>
      <c r="F546" s="237"/>
      <c r="G546" s="122"/>
      <c r="H546" s="122"/>
      <c r="L546" s="121"/>
      <c r="M546" s="121"/>
      <c r="N546" s="711"/>
      <c r="O546" s="121"/>
      <c r="Q546" s="121"/>
      <c r="S546" s="121"/>
      <c r="U546" s="121"/>
      <c r="V546" s="121"/>
    </row>
    <row r="547" spans="1:22" s="131" customFormat="1" ht="12.75">
      <c r="A547" s="24" t="s">
        <v>973</v>
      </c>
      <c r="B547" s="24"/>
      <c r="C547" s="70"/>
      <c r="D547" s="24"/>
      <c r="E547" s="24"/>
      <c r="F547" s="24"/>
      <c r="G547" s="91"/>
      <c r="H547" s="91"/>
      <c r="L547" s="389"/>
      <c r="M547" s="389"/>
      <c r="N547" s="681"/>
      <c r="O547" s="389"/>
      <c r="Q547" s="389"/>
      <c r="S547" s="389"/>
      <c r="U547" s="389"/>
      <c r="V547" s="389"/>
    </row>
    <row r="548" spans="1:22" s="109" customFormat="1" ht="12.75">
      <c r="A548" s="237" t="s">
        <v>974</v>
      </c>
      <c r="B548" s="237"/>
      <c r="C548" s="337"/>
      <c r="D548" s="237"/>
      <c r="E548" s="237"/>
      <c r="F548" s="237"/>
      <c r="G548" s="122"/>
      <c r="H548" s="122"/>
      <c r="L548" s="121"/>
      <c r="M548" s="121"/>
      <c r="N548" s="711"/>
      <c r="O548" s="121"/>
      <c r="Q548" s="121"/>
      <c r="S548" s="121"/>
      <c r="U548" s="121"/>
      <c r="V548" s="121"/>
    </row>
    <row r="549" spans="1:22" s="109" customFormat="1" ht="12.75">
      <c r="A549" s="237"/>
      <c r="B549" s="237"/>
      <c r="C549" s="337"/>
      <c r="D549" s="237"/>
      <c r="E549" s="237"/>
      <c r="F549" s="237"/>
      <c r="G549" s="122"/>
      <c r="H549" s="122"/>
      <c r="L549" s="121"/>
      <c r="M549" s="121"/>
      <c r="N549" s="711"/>
      <c r="O549" s="121"/>
      <c r="Q549" s="121"/>
      <c r="S549" s="121"/>
      <c r="U549" s="121"/>
      <c r="V549" s="121"/>
    </row>
    <row r="550" spans="1:8" ht="13.5" thickBot="1">
      <c r="A550" s="12"/>
      <c r="B550" s="12"/>
      <c r="C550" s="70"/>
      <c r="D550" s="12"/>
      <c r="E550" s="12"/>
      <c r="F550" s="12"/>
      <c r="G550" s="52"/>
      <c r="H550" s="52"/>
    </row>
    <row r="551" spans="1:22" ht="13.5" thickBot="1">
      <c r="A551" s="177" t="s">
        <v>44</v>
      </c>
      <c r="B551" s="178"/>
      <c r="C551" s="178"/>
      <c r="D551" s="179"/>
      <c r="E551" s="179"/>
      <c r="F551" s="179"/>
      <c r="G551" s="238" t="s">
        <v>23</v>
      </c>
      <c r="H551" s="136"/>
      <c r="I551" s="137" t="s">
        <v>395</v>
      </c>
      <c r="J551" s="216"/>
      <c r="K551" s="10" t="s">
        <v>25</v>
      </c>
      <c r="L551" s="238" t="s">
        <v>645</v>
      </c>
      <c r="M551" s="403" t="s">
        <v>296</v>
      </c>
      <c r="N551" s="426" t="s">
        <v>684</v>
      </c>
      <c r="O551" s="403" t="s">
        <v>296</v>
      </c>
      <c r="P551" s="426" t="s">
        <v>683</v>
      </c>
      <c r="Q551" s="415" t="s">
        <v>296</v>
      </c>
      <c r="R551" s="426" t="s">
        <v>681</v>
      </c>
      <c r="S551" s="415" t="s">
        <v>296</v>
      </c>
      <c r="T551" s="426" t="s">
        <v>681</v>
      </c>
      <c r="U551" s="415" t="s">
        <v>296</v>
      </c>
      <c r="V551" s="785" t="s">
        <v>681</v>
      </c>
    </row>
    <row r="552" spans="1:22" ht="16.5" thickTop="1">
      <c r="A552" s="239" t="s">
        <v>167</v>
      </c>
      <c r="B552" s="181" t="s">
        <v>168</v>
      </c>
      <c r="C552" s="240"/>
      <c r="D552" s="12"/>
      <c r="E552" s="12"/>
      <c r="F552" s="12"/>
      <c r="G552" s="26" t="s">
        <v>45</v>
      </c>
      <c r="H552" s="32" t="s">
        <v>27</v>
      </c>
      <c r="I552" s="6" t="s">
        <v>92</v>
      </c>
      <c r="J552" s="108" t="s">
        <v>29</v>
      </c>
      <c r="K552" s="33" t="s">
        <v>46</v>
      </c>
      <c r="L552" s="208"/>
      <c r="M552" s="25" t="s">
        <v>297</v>
      </c>
      <c r="N552" s="425"/>
      <c r="O552" s="25" t="s">
        <v>750</v>
      </c>
      <c r="P552" s="547"/>
      <c r="Q552" s="416" t="s">
        <v>896</v>
      </c>
      <c r="R552" s="547"/>
      <c r="S552" s="416" t="s">
        <v>957</v>
      </c>
      <c r="T552" s="547"/>
      <c r="U552" s="416" t="s">
        <v>252</v>
      </c>
      <c r="V552" s="786"/>
    </row>
    <row r="553" spans="1:22" ht="13.5" thickBot="1">
      <c r="A553" s="183"/>
      <c r="B553" s="184"/>
      <c r="C553" s="185"/>
      <c r="D553" s="37"/>
      <c r="E553" s="37"/>
      <c r="F553" s="37"/>
      <c r="G553" s="241"/>
      <c r="H553" s="84">
        <v>38335</v>
      </c>
      <c r="I553" s="148">
        <v>38587</v>
      </c>
      <c r="J553" s="110" t="s">
        <v>31</v>
      </c>
      <c r="K553" s="33" t="s">
        <v>32</v>
      </c>
      <c r="L553" s="242"/>
      <c r="M553" s="404"/>
      <c r="N553" s="429"/>
      <c r="O553" s="404"/>
      <c r="P553" s="548"/>
      <c r="Q553" s="411"/>
      <c r="R553" s="548"/>
      <c r="S553" s="411"/>
      <c r="T553" s="548"/>
      <c r="U553" s="411"/>
      <c r="V553" s="787"/>
    </row>
    <row r="554" spans="1:20" ht="13.5" thickBot="1">
      <c r="A554" s="186" t="s">
        <v>47</v>
      </c>
      <c r="B554" s="187"/>
      <c r="C554" s="39"/>
      <c r="D554" s="188" t="s">
        <v>48</v>
      </c>
      <c r="E554" s="19"/>
      <c r="F554" s="19"/>
      <c r="G554" s="242">
        <v>1</v>
      </c>
      <c r="H554" s="41">
        <v>2</v>
      </c>
      <c r="I554" s="22">
        <v>3</v>
      </c>
      <c r="J554" s="22">
        <v>4</v>
      </c>
      <c r="K554" s="40">
        <v>1</v>
      </c>
      <c r="L554" s="599">
        <v>1</v>
      </c>
      <c r="M554" s="409"/>
      <c r="N554" s="424"/>
      <c r="P554" s="547"/>
      <c r="R554" s="556"/>
      <c r="T554" s="556"/>
    </row>
    <row r="555" spans="1:22" s="275" customFormat="1" ht="15">
      <c r="A555" s="383"/>
      <c r="B555" s="384" t="s">
        <v>228</v>
      </c>
      <c r="C555" s="385"/>
      <c r="D555" s="385"/>
      <c r="E555" s="386"/>
      <c r="F555" s="386"/>
      <c r="G555" s="387"/>
      <c r="H555" s="388"/>
      <c r="I555" s="388"/>
      <c r="J555" s="388"/>
      <c r="K555" s="383"/>
      <c r="L555" s="526">
        <f>SUM(L557+L573)</f>
        <v>135265</v>
      </c>
      <c r="M555" s="414">
        <f>SUM(M557+M573)</f>
        <v>6117</v>
      </c>
      <c r="N555" s="440">
        <f>SUM(M555/L555)*100</f>
        <v>4.5222341329981885</v>
      </c>
      <c r="O555" s="555">
        <f>SUM(O557+O573)</f>
        <v>7640</v>
      </c>
      <c r="P555" s="567">
        <f>SUM(O555/L555)*100</f>
        <v>5.648172106605552</v>
      </c>
      <c r="Q555" s="555">
        <f>SUM(Q557+Q573)</f>
        <v>11163</v>
      </c>
      <c r="R555" s="567">
        <f>SUM(Q555/L555)*100</f>
        <v>8.25268916571175</v>
      </c>
      <c r="S555" s="555">
        <f>SUM(S557+S573)</f>
        <v>13854</v>
      </c>
      <c r="T555" s="567">
        <f>SUM(S555/L555)*100</f>
        <v>10.242117325250435</v>
      </c>
      <c r="U555" s="555">
        <f>SUM(U557+U573)</f>
        <v>13991</v>
      </c>
      <c r="V555" s="555">
        <f>SUM(V557+V573)</f>
        <v>13991</v>
      </c>
    </row>
    <row r="556" spans="1:20" ht="12.75">
      <c r="A556" s="301"/>
      <c r="B556" s="243"/>
      <c r="C556" s="243"/>
      <c r="D556" s="161"/>
      <c r="E556" s="161"/>
      <c r="F556" s="161"/>
      <c r="G556" s="244"/>
      <c r="H556" s="26"/>
      <c r="I556" s="14"/>
      <c r="J556" s="14"/>
      <c r="K556" s="14"/>
      <c r="L556" s="26"/>
      <c r="N556" s="425"/>
      <c r="P556" s="547"/>
      <c r="R556" s="547"/>
      <c r="T556" s="547"/>
    </row>
    <row r="557" spans="1:22" s="131" customFormat="1" ht="12.75">
      <c r="A557" s="301">
        <v>600</v>
      </c>
      <c r="B557" s="161" t="s">
        <v>37</v>
      </c>
      <c r="C557" s="161"/>
      <c r="D557" s="161"/>
      <c r="E557" s="161"/>
      <c r="F557" s="161"/>
      <c r="G557" s="244"/>
      <c r="H557" s="92"/>
      <c r="I557" s="71"/>
      <c r="J557" s="71"/>
      <c r="K557" s="71"/>
      <c r="L557" s="375">
        <f>SUM(L558)</f>
        <v>9355</v>
      </c>
      <c r="M557" s="121">
        <f>SUM(M558)</f>
        <v>1212</v>
      </c>
      <c r="N557" s="431">
        <f aca="true" t="shared" si="135" ref="N557:N562">SUM(M557/L557)*100</f>
        <v>12.955638695884552</v>
      </c>
      <c r="O557" s="121">
        <f>SUM(O558)</f>
        <v>2256</v>
      </c>
      <c r="P557" s="431">
        <f aca="true" t="shared" si="136" ref="P557:P562">SUM(O557/L557)*100</f>
        <v>24.115446285408872</v>
      </c>
      <c r="Q557" s="121">
        <f>SUM(Q558)</f>
        <v>3241</v>
      </c>
      <c r="R557" s="431">
        <f aca="true" t="shared" si="137" ref="R557:R562">SUM(Q557/L557)*100</f>
        <v>34.64457509353287</v>
      </c>
      <c r="S557" s="121">
        <f>SUM(S558)</f>
        <v>4496</v>
      </c>
      <c r="T557" s="431">
        <f aca="true" t="shared" si="138" ref="T557:T562">SUM(S557/L557)*100</f>
        <v>48.05986103687868</v>
      </c>
      <c r="U557" s="121">
        <f>SUM(U558)</f>
        <v>4633</v>
      </c>
      <c r="V557" s="121">
        <f>SUM(V558)</f>
        <v>4633</v>
      </c>
    </row>
    <row r="558" spans="1:22" ht="12.75">
      <c r="A558" s="66">
        <v>650</v>
      </c>
      <c r="B558" s="49" t="s">
        <v>396</v>
      </c>
      <c r="C558" s="49"/>
      <c r="D558" s="12"/>
      <c r="E558" s="12"/>
      <c r="F558" s="12"/>
      <c r="G558" s="195">
        <f>SUM(G559)</f>
        <v>2124</v>
      </c>
      <c r="H558" s="193">
        <f aca="true" t="shared" si="139" ref="H558:V558">H559</f>
        <v>8787</v>
      </c>
      <c r="I558" s="193">
        <f t="shared" si="139"/>
        <v>8787</v>
      </c>
      <c r="J558" s="193">
        <f t="shared" si="139"/>
        <v>3141</v>
      </c>
      <c r="K558" s="193">
        <f t="shared" si="139"/>
        <v>15187</v>
      </c>
      <c r="L558" s="50">
        <f>L559+L565</f>
        <v>9355</v>
      </c>
      <c r="M558" s="197">
        <f t="shared" si="139"/>
        <v>1212</v>
      </c>
      <c r="N558" s="433">
        <f t="shared" si="135"/>
        <v>12.955638695884552</v>
      </c>
      <c r="O558" s="197">
        <f t="shared" si="139"/>
        <v>2256</v>
      </c>
      <c r="P558" s="433">
        <f t="shared" si="136"/>
        <v>24.115446285408872</v>
      </c>
      <c r="Q558" s="197">
        <f t="shared" si="139"/>
        <v>3241</v>
      </c>
      <c r="R558" s="433">
        <f t="shared" si="137"/>
        <v>34.64457509353287</v>
      </c>
      <c r="S558" s="197">
        <f t="shared" si="139"/>
        <v>4496</v>
      </c>
      <c r="T558" s="433">
        <f t="shared" si="138"/>
        <v>48.05986103687868</v>
      </c>
      <c r="U558" s="197">
        <f t="shared" si="139"/>
        <v>4633</v>
      </c>
      <c r="V558" s="197">
        <f t="shared" si="139"/>
        <v>4633</v>
      </c>
    </row>
    <row r="559" spans="1:22" ht="12.75">
      <c r="A559" s="53">
        <v>651002</v>
      </c>
      <c r="B559" s="55" t="s">
        <v>397</v>
      </c>
      <c r="C559" s="55"/>
      <c r="D559" s="12"/>
      <c r="E559" s="12"/>
      <c r="F559" s="13"/>
      <c r="G559" s="200">
        <f aca="true" t="shared" si="140" ref="G559:V559">SUM(G560:G564)</f>
        <v>2124</v>
      </c>
      <c r="H559" s="56">
        <f t="shared" si="140"/>
        <v>8787</v>
      </c>
      <c r="I559" s="56">
        <f t="shared" si="140"/>
        <v>8787</v>
      </c>
      <c r="J559" s="56">
        <f t="shared" si="140"/>
        <v>3141</v>
      </c>
      <c r="K559" s="56">
        <f t="shared" si="140"/>
        <v>15187</v>
      </c>
      <c r="L559" s="56">
        <f t="shared" si="140"/>
        <v>8215</v>
      </c>
      <c r="M559" s="200">
        <f t="shared" si="140"/>
        <v>1212</v>
      </c>
      <c r="N559" s="434">
        <f t="shared" si="135"/>
        <v>14.753499695678638</v>
      </c>
      <c r="O559" s="200">
        <f t="shared" si="140"/>
        <v>2256</v>
      </c>
      <c r="P559" s="434">
        <f t="shared" si="136"/>
        <v>27.461959829580035</v>
      </c>
      <c r="Q559" s="200">
        <f t="shared" si="140"/>
        <v>3241</v>
      </c>
      <c r="R559" s="434">
        <f t="shared" si="137"/>
        <v>39.452221545952526</v>
      </c>
      <c r="S559" s="200">
        <f t="shared" si="140"/>
        <v>4496</v>
      </c>
      <c r="T559" s="434">
        <f t="shared" si="138"/>
        <v>54.72915398660986</v>
      </c>
      <c r="U559" s="200">
        <f t="shared" si="140"/>
        <v>4633</v>
      </c>
      <c r="V559" s="200">
        <f t="shared" si="140"/>
        <v>4633</v>
      </c>
    </row>
    <row r="560" spans="1:22" s="627" customFormat="1" ht="12">
      <c r="A560" s="204"/>
      <c r="B560" s="203" t="s">
        <v>900</v>
      </c>
      <c r="C560" s="203"/>
      <c r="D560" s="203"/>
      <c r="E560" s="203"/>
      <c r="F560" s="632"/>
      <c r="G560" s="202">
        <v>1409</v>
      </c>
      <c r="H560" s="94">
        <v>3257</v>
      </c>
      <c r="I560" s="94">
        <v>3257</v>
      </c>
      <c r="J560" s="94">
        <v>1350</v>
      </c>
      <c r="K560" s="94">
        <v>3129</v>
      </c>
      <c r="L560" s="94">
        <v>1424</v>
      </c>
      <c r="M560" s="562">
        <v>158</v>
      </c>
      <c r="N560" s="563">
        <f t="shared" si="135"/>
        <v>11.095505617977528</v>
      </c>
      <c r="O560" s="562">
        <v>710</v>
      </c>
      <c r="P560" s="563">
        <f t="shared" si="136"/>
        <v>49.859550561797754</v>
      </c>
      <c r="Q560" s="562">
        <v>710</v>
      </c>
      <c r="R560" s="563">
        <f t="shared" si="137"/>
        <v>49.859550561797754</v>
      </c>
      <c r="S560" s="562">
        <v>1607</v>
      </c>
      <c r="T560" s="563">
        <f t="shared" si="138"/>
        <v>112.85112359550563</v>
      </c>
      <c r="U560" s="562">
        <v>1607</v>
      </c>
      <c r="V560" s="562">
        <v>1607</v>
      </c>
    </row>
    <row r="561" spans="1:22" s="627" customFormat="1" ht="12">
      <c r="A561" s="204"/>
      <c r="B561" s="203" t="s">
        <v>398</v>
      </c>
      <c r="C561" s="203"/>
      <c r="D561" s="203"/>
      <c r="E561" s="203"/>
      <c r="F561" s="632"/>
      <c r="G561" s="202">
        <v>387</v>
      </c>
      <c r="H561" s="94">
        <v>2000</v>
      </c>
      <c r="I561" s="94">
        <v>2000</v>
      </c>
      <c r="J561" s="94">
        <v>685</v>
      </c>
      <c r="K561" s="94">
        <v>1375</v>
      </c>
      <c r="L561" s="94">
        <v>1475</v>
      </c>
      <c r="M561" s="562">
        <v>355</v>
      </c>
      <c r="N561" s="563">
        <f t="shared" si="135"/>
        <v>24.06779661016949</v>
      </c>
      <c r="O561" s="562">
        <v>502</v>
      </c>
      <c r="P561" s="563">
        <f t="shared" si="136"/>
        <v>34.03389830508475</v>
      </c>
      <c r="Q561" s="562">
        <v>798</v>
      </c>
      <c r="R561" s="563">
        <f t="shared" si="137"/>
        <v>54.10169491525424</v>
      </c>
      <c r="S561" s="562">
        <v>939</v>
      </c>
      <c r="T561" s="563">
        <f t="shared" si="138"/>
        <v>63.66101694915254</v>
      </c>
      <c r="U561" s="562">
        <v>939</v>
      </c>
      <c r="V561" s="562">
        <v>939</v>
      </c>
    </row>
    <row r="562" spans="1:22" s="627" customFormat="1" ht="12">
      <c r="A562" s="204"/>
      <c r="B562" s="203" t="s">
        <v>399</v>
      </c>
      <c r="C562" s="203"/>
      <c r="D562" s="203"/>
      <c r="E562" s="203"/>
      <c r="F562" s="632"/>
      <c r="G562" s="202">
        <f>220+108</f>
        <v>328</v>
      </c>
      <c r="H562" s="94">
        <f>2400+530</f>
        <v>2930</v>
      </c>
      <c r="I562" s="94">
        <v>2930</v>
      </c>
      <c r="J562" s="94">
        <v>772</v>
      </c>
      <c r="K562" s="94">
        <v>2135</v>
      </c>
      <c r="L562" s="94">
        <v>2135</v>
      </c>
      <c r="M562" s="562">
        <v>359</v>
      </c>
      <c r="N562" s="563">
        <f t="shared" si="135"/>
        <v>16.814988290398126</v>
      </c>
      <c r="O562" s="562">
        <v>575</v>
      </c>
      <c r="P562" s="563">
        <f t="shared" si="136"/>
        <v>26.93208430913349</v>
      </c>
      <c r="Q562" s="562">
        <v>1012</v>
      </c>
      <c r="R562" s="563">
        <f t="shared" si="137"/>
        <v>47.40046838407494</v>
      </c>
      <c r="S562" s="562">
        <v>1229</v>
      </c>
      <c r="T562" s="563">
        <f t="shared" si="138"/>
        <v>57.56440281030445</v>
      </c>
      <c r="U562" s="562">
        <v>1229</v>
      </c>
      <c r="V562" s="562">
        <v>1229</v>
      </c>
    </row>
    <row r="563" spans="1:22" s="627" customFormat="1" ht="12">
      <c r="A563" s="204"/>
      <c r="B563" s="203" t="s">
        <v>400</v>
      </c>
      <c r="C563" s="203"/>
      <c r="D563" s="203"/>
      <c r="E563" s="203"/>
      <c r="F563" s="632"/>
      <c r="G563" s="202">
        <v>0</v>
      </c>
      <c r="H563" s="94">
        <v>0</v>
      </c>
      <c r="I563" s="94">
        <v>0</v>
      </c>
      <c r="J563" s="94">
        <v>0</v>
      </c>
      <c r="K563" s="94">
        <v>7333</v>
      </c>
      <c r="L563" s="94">
        <v>1866</v>
      </c>
      <c r="M563" s="562"/>
      <c r="N563" s="563"/>
      <c r="O563" s="562"/>
      <c r="P563" s="565"/>
      <c r="Q563" s="562"/>
      <c r="R563" s="565"/>
      <c r="S563" s="562">
        <v>0</v>
      </c>
      <c r="T563" s="565"/>
      <c r="U563" s="562"/>
      <c r="V563" s="562">
        <v>0</v>
      </c>
    </row>
    <row r="564" spans="1:22" s="627" customFormat="1" ht="12">
      <c r="A564" s="204"/>
      <c r="B564" s="203" t="s">
        <v>401</v>
      </c>
      <c r="C564" s="203"/>
      <c r="D564" s="203"/>
      <c r="E564" s="203"/>
      <c r="F564" s="632"/>
      <c r="G564" s="202">
        <v>0</v>
      </c>
      <c r="H564" s="94">
        <v>600</v>
      </c>
      <c r="I564" s="94">
        <v>600</v>
      </c>
      <c r="J564" s="94">
        <v>334</v>
      </c>
      <c r="K564" s="94">
        <v>1215</v>
      </c>
      <c r="L564" s="94">
        <v>1315</v>
      </c>
      <c r="M564" s="562">
        <v>340</v>
      </c>
      <c r="N564" s="563">
        <f>SUM(M564/L564)*100</f>
        <v>25.85551330798479</v>
      </c>
      <c r="O564" s="562">
        <v>469</v>
      </c>
      <c r="P564" s="563">
        <f>SUM(O564/L564)*100</f>
        <v>35.665399239543724</v>
      </c>
      <c r="Q564" s="562">
        <v>721</v>
      </c>
      <c r="R564" s="563">
        <f>SUM(Q564/L564)*100</f>
        <v>54.82889733840304</v>
      </c>
      <c r="S564" s="562">
        <v>721</v>
      </c>
      <c r="T564" s="563">
        <f>SUM(S564/L564)*100</f>
        <v>54.82889733840304</v>
      </c>
      <c r="U564" s="562">
        <v>858</v>
      </c>
      <c r="V564" s="562">
        <v>858</v>
      </c>
    </row>
    <row r="565" spans="1:22" s="131" customFormat="1" ht="12.75">
      <c r="A565" s="71">
        <v>653001</v>
      </c>
      <c r="B565" s="24" t="s">
        <v>730</v>
      </c>
      <c r="C565" s="24"/>
      <c r="D565" s="24"/>
      <c r="E565" s="24"/>
      <c r="F565" s="24"/>
      <c r="G565" s="206"/>
      <c r="H565" s="92"/>
      <c r="I565" s="92"/>
      <c r="J565" s="92"/>
      <c r="K565" s="206"/>
      <c r="L565" s="92">
        <v>1140</v>
      </c>
      <c r="M565" s="389"/>
      <c r="N565" s="430"/>
      <c r="O565" s="389"/>
      <c r="P565" s="549"/>
      <c r="Q565" s="389"/>
      <c r="R565" s="549"/>
      <c r="S565" s="389">
        <v>0</v>
      </c>
      <c r="T565" s="549"/>
      <c r="U565" s="389"/>
      <c r="V565" s="389"/>
    </row>
    <row r="566" spans="1:22" s="88" customFormat="1" ht="13.5" thickBot="1">
      <c r="A566" s="633"/>
      <c r="B566" s="203" t="s">
        <v>731</v>
      </c>
      <c r="C566" s="203"/>
      <c r="D566" s="55"/>
      <c r="E566" s="55"/>
      <c r="F566" s="55"/>
      <c r="G566" s="200"/>
      <c r="H566" s="56"/>
      <c r="I566" s="56"/>
      <c r="J566" s="56"/>
      <c r="K566" s="200"/>
      <c r="L566" s="214">
        <v>1140</v>
      </c>
      <c r="M566" s="397"/>
      <c r="N566" s="634"/>
      <c r="O566" s="635"/>
      <c r="P566" s="636"/>
      <c r="Q566" s="635"/>
      <c r="R566" s="636"/>
      <c r="S566" s="635">
        <v>0</v>
      </c>
      <c r="T566" s="636"/>
      <c r="U566" s="397"/>
      <c r="V566" s="397"/>
    </row>
    <row r="567" spans="1:14" ht="12.75">
      <c r="A567" s="474"/>
      <c r="B567" s="474"/>
      <c r="C567" s="474"/>
      <c r="D567" s="4"/>
      <c r="E567" s="4"/>
      <c r="F567" s="4"/>
      <c r="G567" s="524"/>
      <c r="H567" s="523"/>
      <c r="I567" s="523"/>
      <c r="J567" s="523"/>
      <c r="K567" s="403"/>
      <c r="L567" s="419"/>
      <c r="M567" s="419"/>
      <c r="N567" s="527"/>
    </row>
    <row r="568" spans="1:14" ht="13.5" thickBot="1">
      <c r="A568" s="70"/>
      <c r="B568" s="70"/>
      <c r="C568" s="70"/>
      <c r="D568" s="12"/>
      <c r="E568" s="12"/>
      <c r="F568" s="12"/>
      <c r="G568" s="200"/>
      <c r="H568" s="56"/>
      <c r="I568" s="56"/>
      <c r="J568" s="56"/>
      <c r="K568" s="25"/>
      <c r="L568" s="52"/>
      <c r="N568" s="438"/>
    </row>
    <row r="569" spans="1:22" ht="13.5" thickBot="1">
      <c r="A569" s="177" t="s">
        <v>44</v>
      </c>
      <c r="B569" s="178"/>
      <c r="C569" s="178"/>
      <c r="D569" s="179"/>
      <c r="E569" s="179"/>
      <c r="F569" s="179"/>
      <c r="G569" s="238" t="s">
        <v>23</v>
      </c>
      <c r="H569" s="136"/>
      <c r="I569" s="137" t="s">
        <v>395</v>
      </c>
      <c r="J569" s="216"/>
      <c r="K569" s="10" t="s">
        <v>25</v>
      </c>
      <c r="L569" s="238" t="s">
        <v>645</v>
      </c>
      <c r="M569" s="403" t="s">
        <v>296</v>
      </c>
      <c r="N569" s="426" t="s">
        <v>684</v>
      </c>
      <c r="O569" s="403" t="s">
        <v>296</v>
      </c>
      <c r="P569" s="426" t="s">
        <v>683</v>
      </c>
      <c r="Q569" s="415" t="s">
        <v>296</v>
      </c>
      <c r="R569" s="426" t="s">
        <v>681</v>
      </c>
      <c r="S569" s="415" t="s">
        <v>296</v>
      </c>
      <c r="T569" s="426" t="s">
        <v>681</v>
      </c>
      <c r="U569" s="415" t="s">
        <v>296</v>
      </c>
      <c r="V569" s="785" t="s">
        <v>681</v>
      </c>
    </row>
    <row r="570" spans="1:22" ht="16.5" thickTop="1">
      <c r="A570" s="239" t="s">
        <v>167</v>
      </c>
      <c r="B570" s="181" t="s">
        <v>168</v>
      </c>
      <c r="C570" s="240"/>
      <c r="D570" s="12"/>
      <c r="E570" s="12"/>
      <c r="F570" s="12"/>
      <c r="G570" s="26" t="s">
        <v>45</v>
      </c>
      <c r="H570" s="32" t="s">
        <v>27</v>
      </c>
      <c r="I570" s="6" t="s">
        <v>92</v>
      </c>
      <c r="J570" s="108" t="s">
        <v>29</v>
      </c>
      <c r="K570" s="33" t="s">
        <v>46</v>
      </c>
      <c r="L570" s="208"/>
      <c r="M570" s="25" t="s">
        <v>297</v>
      </c>
      <c r="N570" s="425"/>
      <c r="O570" s="25" t="s">
        <v>750</v>
      </c>
      <c r="P570" s="547"/>
      <c r="Q570" s="416" t="s">
        <v>896</v>
      </c>
      <c r="R570" s="547"/>
      <c r="S570" s="416" t="s">
        <v>957</v>
      </c>
      <c r="T570" s="547"/>
      <c r="U570" s="416" t="s">
        <v>252</v>
      </c>
      <c r="V570" s="786"/>
    </row>
    <row r="571" spans="1:22" ht="13.5" thickBot="1">
      <c r="A571" s="183"/>
      <c r="B571" s="184"/>
      <c r="C571" s="185"/>
      <c r="D571" s="37"/>
      <c r="E571" s="37"/>
      <c r="F571" s="37"/>
      <c r="G571" s="241"/>
      <c r="H571" s="84">
        <v>38335</v>
      </c>
      <c r="I571" s="148">
        <v>38587</v>
      </c>
      <c r="J571" s="110" t="s">
        <v>31</v>
      </c>
      <c r="K571" s="33" t="s">
        <v>32</v>
      </c>
      <c r="L571" s="242"/>
      <c r="M571" s="404"/>
      <c r="N571" s="429"/>
      <c r="O571" s="404"/>
      <c r="P571" s="548"/>
      <c r="Q571" s="411"/>
      <c r="R571" s="548"/>
      <c r="S571" s="411"/>
      <c r="T571" s="548"/>
      <c r="U571" s="411"/>
      <c r="V571" s="787"/>
    </row>
    <row r="572" spans="1:20" ht="13.5" thickBot="1">
      <c r="A572" s="186" t="s">
        <v>47</v>
      </c>
      <c r="B572" s="187"/>
      <c r="C572" s="39"/>
      <c r="D572" s="188" t="s">
        <v>48</v>
      </c>
      <c r="E572" s="19"/>
      <c r="F572" s="19"/>
      <c r="G572" s="242">
        <v>1</v>
      </c>
      <c r="H572" s="41">
        <v>2</v>
      </c>
      <c r="I572" s="22">
        <v>3</v>
      </c>
      <c r="J572" s="22">
        <v>4</v>
      </c>
      <c r="K572" s="40">
        <v>1</v>
      </c>
      <c r="L572" s="599">
        <v>1</v>
      </c>
      <c r="M572" s="409"/>
      <c r="N572" s="424"/>
      <c r="P572" s="547"/>
      <c r="R572" s="556"/>
      <c r="T572" s="556"/>
    </row>
    <row r="573" spans="1:22" s="131" customFormat="1" ht="12.75">
      <c r="A573" s="261"/>
      <c r="B573" s="161" t="s">
        <v>402</v>
      </c>
      <c r="C573" s="158"/>
      <c r="D573" s="158"/>
      <c r="E573" s="158"/>
      <c r="F573" s="158"/>
      <c r="G573" s="304"/>
      <c r="H573" s="92"/>
      <c r="I573" s="71"/>
      <c r="J573" s="71"/>
      <c r="K573" s="71"/>
      <c r="L573" s="375">
        <f>SUM(L575)</f>
        <v>125910</v>
      </c>
      <c r="M573" s="376">
        <f>SUM(M575)</f>
        <v>4905</v>
      </c>
      <c r="N573" s="431">
        <f>SUM(M573/L573)*100</f>
        <v>3.895639742673338</v>
      </c>
      <c r="O573" s="412">
        <f>SUM(O575)</f>
        <v>5384</v>
      </c>
      <c r="P573" s="484">
        <f>SUM(O573/L573)*100</f>
        <v>4.276070208879358</v>
      </c>
      <c r="Q573" s="412">
        <f>SUM(Q575)</f>
        <v>7922</v>
      </c>
      <c r="R573" s="484">
        <f>SUM(Q573/L573)*100</f>
        <v>6.291795727106663</v>
      </c>
      <c r="S573" s="412">
        <f>SUM(S575)</f>
        <v>9358</v>
      </c>
      <c r="T573" s="484">
        <f>SUM(S573/L573)*100</f>
        <v>7.432292907632436</v>
      </c>
      <c r="U573" s="412">
        <f>SUM(U575)</f>
        <v>9358</v>
      </c>
      <c r="V573" s="412">
        <f>SUM(V575)</f>
        <v>9358</v>
      </c>
    </row>
    <row r="574" spans="1:22" s="131" customFormat="1" ht="12.75">
      <c r="A574" s="196">
        <v>800</v>
      </c>
      <c r="B574" s="237" t="s">
        <v>403</v>
      </c>
      <c r="C574" s="237"/>
      <c r="D574" s="24"/>
      <c r="E574" s="24"/>
      <c r="F574" s="24"/>
      <c r="G574" s="374"/>
      <c r="H574" s="92"/>
      <c r="I574" s="71"/>
      <c r="J574" s="71"/>
      <c r="K574" s="71"/>
      <c r="L574" s="92"/>
      <c r="M574" s="389"/>
      <c r="N574" s="430"/>
      <c r="O574" s="389"/>
      <c r="P574" s="549"/>
      <c r="Q574" s="389"/>
      <c r="R574" s="549"/>
      <c r="S574" s="389"/>
      <c r="T574" s="549"/>
      <c r="U574" s="389"/>
      <c r="V574" s="389"/>
    </row>
    <row r="575" spans="1:22" ht="12.75">
      <c r="A575" s="66">
        <v>821</v>
      </c>
      <c r="B575" s="199" t="s">
        <v>404</v>
      </c>
      <c r="C575" s="49"/>
      <c r="D575" s="12"/>
      <c r="E575" s="12"/>
      <c r="F575" s="13"/>
      <c r="G575" s="194">
        <f aca="true" t="shared" si="141" ref="G575:V575">G576</f>
        <v>4514</v>
      </c>
      <c r="H575" s="193">
        <f t="shared" si="141"/>
        <v>18257</v>
      </c>
      <c r="I575" s="193">
        <f t="shared" si="141"/>
        <v>21189</v>
      </c>
      <c r="J575" s="193">
        <f t="shared" si="141"/>
        <v>10205</v>
      </c>
      <c r="K575" s="193">
        <f t="shared" si="141"/>
        <v>21190</v>
      </c>
      <c r="L575" s="50">
        <f t="shared" si="141"/>
        <v>125910</v>
      </c>
      <c r="M575" s="197">
        <f t="shared" si="141"/>
        <v>4905</v>
      </c>
      <c r="N575" s="433">
        <f aca="true" t="shared" si="142" ref="N575:N581">SUM(M575/L575)*100</f>
        <v>3.895639742673338</v>
      </c>
      <c r="O575" s="197">
        <f t="shared" si="141"/>
        <v>5384</v>
      </c>
      <c r="P575" s="433">
        <f aca="true" t="shared" si="143" ref="P575:P580">SUM(O575/L575)*100</f>
        <v>4.276070208879358</v>
      </c>
      <c r="Q575" s="197">
        <f t="shared" si="141"/>
        <v>7922</v>
      </c>
      <c r="R575" s="433">
        <f aca="true" t="shared" si="144" ref="R575:R580">SUM(Q575/L575)*100</f>
        <v>6.291795727106663</v>
      </c>
      <c r="S575" s="197">
        <f t="shared" si="141"/>
        <v>9358</v>
      </c>
      <c r="T575" s="433">
        <f aca="true" t="shared" si="145" ref="T575:T580">SUM(S575/L575)*100</f>
        <v>7.432292907632436</v>
      </c>
      <c r="U575" s="197">
        <f t="shared" si="141"/>
        <v>9358</v>
      </c>
      <c r="V575" s="197">
        <f t="shared" si="141"/>
        <v>9358</v>
      </c>
    </row>
    <row r="576" spans="1:22" s="131" customFormat="1" ht="12.75">
      <c r="A576" s="71">
        <v>821005</v>
      </c>
      <c r="B576" s="23" t="s">
        <v>405</v>
      </c>
      <c r="C576" s="24"/>
      <c r="D576" s="24"/>
      <c r="E576" s="24"/>
      <c r="F576" s="58"/>
      <c r="G576" s="91">
        <f>SUM(G577:G579)</f>
        <v>4514</v>
      </c>
      <c r="H576" s="92">
        <f aca="true" t="shared" si="146" ref="H576:V576">SUM(H577:H581)</f>
        <v>18257</v>
      </c>
      <c r="I576" s="92">
        <f t="shared" si="146"/>
        <v>21189</v>
      </c>
      <c r="J576" s="92">
        <f t="shared" si="146"/>
        <v>10205</v>
      </c>
      <c r="K576" s="92">
        <f t="shared" si="146"/>
        <v>21190</v>
      </c>
      <c r="L576" s="92">
        <f t="shared" si="146"/>
        <v>125910</v>
      </c>
      <c r="M576" s="206">
        <f t="shared" si="146"/>
        <v>4905</v>
      </c>
      <c r="N576" s="430">
        <f t="shared" si="142"/>
        <v>3.895639742673338</v>
      </c>
      <c r="O576" s="206">
        <f t="shared" si="146"/>
        <v>5384</v>
      </c>
      <c r="P576" s="430">
        <f t="shared" si="143"/>
        <v>4.276070208879358</v>
      </c>
      <c r="Q576" s="206">
        <f t="shared" si="146"/>
        <v>7922</v>
      </c>
      <c r="R576" s="430">
        <f t="shared" si="144"/>
        <v>6.291795727106663</v>
      </c>
      <c r="S576" s="206">
        <f t="shared" si="146"/>
        <v>9358</v>
      </c>
      <c r="T576" s="430">
        <f t="shared" si="145"/>
        <v>7.432292907632436</v>
      </c>
      <c r="U576" s="206">
        <f t="shared" si="146"/>
        <v>9358</v>
      </c>
      <c r="V576" s="206">
        <f t="shared" si="146"/>
        <v>9358</v>
      </c>
    </row>
    <row r="577" spans="1:22" s="88" customFormat="1" ht="12.75">
      <c r="A577" s="204"/>
      <c r="B577" s="637" t="s">
        <v>406</v>
      </c>
      <c r="C577" s="203"/>
      <c r="D577" s="55"/>
      <c r="E577" s="55"/>
      <c r="F577" s="54"/>
      <c r="G577" s="57">
        <v>1370</v>
      </c>
      <c r="H577" s="56">
        <v>4162</v>
      </c>
      <c r="I577" s="56">
        <v>4162</v>
      </c>
      <c r="J577" s="56">
        <v>1690</v>
      </c>
      <c r="K577" s="56">
        <v>4162</v>
      </c>
      <c r="L577" s="56">
        <v>2081</v>
      </c>
      <c r="M577" s="397">
        <v>647</v>
      </c>
      <c r="N577" s="434">
        <f t="shared" si="142"/>
        <v>31.090821720326765</v>
      </c>
      <c r="O577" s="397">
        <v>974</v>
      </c>
      <c r="P577" s="434">
        <f t="shared" si="143"/>
        <v>46.804420951465644</v>
      </c>
      <c r="Q577" s="397">
        <v>1624</v>
      </c>
      <c r="R577" s="434">
        <f t="shared" si="144"/>
        <v>78.03940413262855</v>
      </c>
      <c r="S577" s="397">
        <v>1957</v>
      </c>
      <c r="T577" s="434">
        <f t="shared" si="145"/>
        <v>94.0413262854397</v>
      </c>
      <c r="U577" s="397">
        <v>1957</v>
      </c>
      <c r="V577" s="397">
        <v>1957</v>
      </c>
    </row>
    <row r="578" spans="1:22" s="88" customFormat="1" ht="12.75">
      <c r="A578" s="204"/>
      <c r="B578" s="205" t="s">
        <v>407</v>
      </c>
      <c r="C578" s="203"/>
      <c r="D578" s="55"/>
      <c r="E578" s="55"/>
      <c r="F578" s="54"/>
      <c r="G578" s="57">
        <v>1600</v>
      </c>
      <c r="H578" s="56">
        <v>4800</v>
      </c>
      <c r="I578" s="56">
        <v>4800</v>
      </c>
      <c r="J578" s="56">
        <v>2400</v>
      </c>
      <c r="K578" s="56">
        <v>4800</v>
      </c>
      <c r="L578" s="56">
        <v>4800</v>
      </c>
      <c r="M578" s="397">
        <v>1200</v>
      </c>
      <c r="N578" s="434">
        <f t="shared" si="142"/>
        <v>25</v>
      </c>
      <c r="O578" s="397">
        <v>1600</v>
      </c>
      <c r="P578" s="434">
        <f t="shared" si="143"/>
        <v>33.33333333333333</v>
      </c>
      <c r="Q578" s="397">
        <v>2400</v>
      </c>
      <c r="R578" s="434">
        <f t="shared" si="144"/>
        <v>50</v>
      </c>
      <c r="S578" s="397">
        <v>2800</v>
      </c>
      <c r="T578" s="434">
        <f t="shared" si="145"/>
        <v>58.333333333333336</v>
      </c>
      <c r="U578" s="397">
        <v>2800</v>
      </c>
      <c r="V578" s="397">
        <v>2800</v>
      </c>
    </row>
    <row r="579" spans="1:22" s="88" customFormat="1" ht="12.75">
      <c r="A579" s="204"/>
      <c r="B579" s="637" t="s">
        <v>408</v>
      </c>
      <c r="C579" s="203"/>
      <c r="D579" s="55"/>
      <c r="E579" s="55"/>
      <c r="F579" s="54"/>
      <c r="G579" s="57">
        <f>1264+280</f>
        <v>1544</v>
      </c>
      <c r="H579" s="56">
        <f>3789+840</f>
        <v>4629</v>
      </c>
      <c r="I579" s="56">
        <f>3789+840</f>
        <v>4629</v>
      </c>
      <c r="J579" s="56">
        <v>2315</v>
      </c>
      <c r="K579" s="56">
        <f>3790+840</f>
        <v>4630</v>
      </c>
      <c r="L579" s="56">
        <f>3790+840</f>
        <v>4630</v>
      </c>
      <c r="M579" s="397">
        <v>1158</v>
      </c>
      <c r="N579" s="434">
        <f t="shared" si="142"/>
        <v>25.01079913606911</v>
      </c>
      <c r="O579" s="397">
        <v>1544</v>
      </c>
      <c r="P579" s="434">
        <f t="shared" si="143"/>
        <v>33.347732181425485</v>
      </c>
      <c r="Q579" s="397">
        <v>2315</v>
      </c>
      <c r="R579" s="434">
        <f t="shared" si="144"/>
        <v>50</v>
      </c>
      <c r="S579" s="397">
        <v>2701</v>
      </c>
      <c r="T579" s="434">
        <f t="shared" si="145"/>
        <v>58.336933045356375</v>
      </c>
      <c r="U579" s="397">
        <v>2701</v>
      </c>
      <c r="V579" s="397">
        <v>2701</v>
      </c>
    </row>
    <row r="580" spans="1:22" s="88" customFormat="1" ht="12.75">
      <c r="A580" s="204"/>
      <c r="B580" s="205" t="s">
        <v>409</v>
      </c>
      <c r="C580" s="203"/>
      <c r="D580" s="55"/>
      <c r="E580" s="55"/>
      <c r="F580" s="54"/>
      <c r="G580" s="57">
        <v>0</v>
      </c>
      <c r="H580" s="56">
        <v>2333</v>
      </c>
      <c r="I580" s="56">
        <f>2333+1466</f>
        <v>3799</v>
      </c>
      <c r="J580" s="56">
        <v>1900</v>
      </c>
      <c r="K580" s="56">
        <f>2333+1466</f>
        <v>3799</v>
      </c>
      <c r="L580" s="56">
        <v>1899</v>
      </c>
      <c r="M580" s="544">
        <v>950</v>
      </c>
      <c r="N580" s="434">
        <f t="shared" si="142"/>
        <v>50.026329647182735</v>
      </c>
      <c r="O580" s="397">
        <v>1266</v>
      </c>
      <c r="P580" s="434">
        <f t="shared" si="143"/>
        <v>66.66666666666666</v>
      </c>
      <c r="Q580" s="397">
        <v>1583</v>
      </c>
      <c r="R580" s="434">
        <f t="shared" si="144"/>
        <v>83.35966298051606</v>
      </c>
      <c r="S580" s="397">
        <v>1900</v>
      </c>
      <c r="T580" s="434">
        <f t="shared" si="145"/>
        <v>100.05265929436547</v>
      </c>
      <c r="U580" s="397">
        <v>1900</v>
      </c>
      <c r="V580" s="397">
        <v>1900</v>
      </c>
    </row>
    <row r="581" spans="1:22" s="88" customFormat="1" ht="13.5" thickBot="1">
      <c r="A581" s="633"/>
      <c r="B581" s="638" t="s">
        <v>732</v>
      </c>
      <c r="C581" s="639"/>
      <c r="D581" s="213"/>
      <c r="E581" s="213"/>
      <c r="F581" s="640"/>
      <c r="G581" s="616">
        <v>0</v>
      </c>
      <c r="H581" s="214">
        <v>2333</v>
      </c>
      <c r="I581" s="214">
        <f>2333+1466</f>
        <v>3799</v>
      </c>
      <c r="J581" s="214">
        <v>1900</v>
      </c>
      <c r="K581" s="214">
        <f>2333+1466</f>
        <v>3799</v>
      </c>
      <c r="L581" s="214">
        <v>112500</v>
      </c>
      <c r="M581" s="635">
        <v>950</v>
      </c>
      <c r="N581" s="634">
        <f t="shared" si="142"/>
        <v>0.8444444444444443</v>
      </c>
      <c r="O581" s="635"/>
      <c r="P581" s="636"/>
      <c r="Q581" s="635"/>
      <c r="R581" s="636"/>
      <c r="S581" s="635">
        <v>0</v>
      </c>
      <c r="T581" s="636"/>
      <c r="U581" s="397"/>
      <c r="V581" s="397"/>
    </row>
    <row r="582" spans="1:14" ht="12.75">
      <c r="A582" s="70"/>
      <c r="B582" s="70"/>
      <c r="C582" s="70"/>
      <c r="D582" s="12"/>
      <c r="E582" s="12"/>
      <c r="F582" s="12"/>
      <c r="G582" s="52"/>
      <c r="H582" s="52"/>
      <c r="I582" s="52"/>
      <c r="J582" s="52"/>
      <c r="K582" s="52"/>
      <c r="L582" s="52"/>
      <c r="M582" s="52"/>
      <c r="N582" s="438"/>
    </row>
    <row r="583" spans="1:22" s="131" customFormat="1" ht="12.75">
      <c r="A583" s="24" t="s">
        <v>943</v>
      </c>
      <c r="B583" s="24"/>
      <c r="C583" s="24"/>
      <c r="D583" s="24"/>
      <c r="E583" s="24"/>
      <c r="F583" s="24"/>
      <c r="G583" s="91"/>
      <c r="H583" s="91"/>
      <c r="I583" s="91"/>
      <c r="J583" s="91"/>
      <c r="K583" s="91"/>
      <c r="L583" s="91"/>
      <c r="M583" s="91"/>
      <c r="N583" s="438"/>
      <c r="O583" s="389"/>
      <c r="Q583" s="389"/>
      <c r="S583" s="389"/>
      <c r="U583" s="389"/>
      <c r="V583" s="389"/>
    </row>
    <row r="584" spans="1:22" s="131" customFormat="1" ht="12.75">
      <c r="A584" s="24" t="s">
        <v>945</v>
      </c>
      <c r="B584" s="24"/>
      <c r="C584" s="24"/>
      <c r="D584" s="24"/>
      <c r="E584" s="24"/>
      <c r="F584" s="24"/>
      <c r="G584" s="91"/>
      <c r="H584" s="91"/>
      <c r="I584" s="91"/>
      <c r="J584" s="91"/>
      <c r="K584" s="91"/>
      <c r="L584" s="91"/>
      <c r="M584" s="91"/>
      <c r="N584" s="438"/>
      <c r="O584" s="389"/>
      <c r="Q584" s="389"/>
      <c r="S584" s="389"/>
      <c r="U584" s="389"/>
      <c r="V584" s="389"/>
    </row>
    <row r="585" spans="1:22" s="131" customFormat="1" ht="12.75">
      <c r="A585" s="24" t="s">
        <v>946</v>
      </c>
      <c r="B585" s="24"/>
      <c r="C585" s="24"/>
      <c r="D585" s="24"/>
      <c r="E585" s="24"/>
      <c r="F585" s="24"/>
      <c r="G585" s="91"/>
      <c r="H585" s="91"/>
      <c r="I585" s="91"/>
      <c r="J585" s="91"/>
      <c r="K585" s="91"/>
      <c r="L585" s="91"/>
      <c r="M585" s="91"/>
      <c r="N585" s="438"/>
      <c r="O585" s="389"/>
      <c r="Q585" s="389"/>
      <c r="S585" s="389"/>
      <c r="U585" s="389"/>
      <c r="V585" s="389"/>
    </row>
    <row r="586" spans="1:22" s="131" customFormat="1" ht="12.75">
      <c r="A586" s="24" t="s">
        <v>944</v>
      </c>
      <c r="B586" s="24"/>
      <c r="C586" s="24"/>
      <c r="D586" s="24"/>
      <c r="E586" s="24"/>
      <c r="F586" s="24"/>
      <c r="G586" s="91"/>
      <c r="H586" s="91"/>
      <c r="I586" s="91"/>
      <c r="J586" s="91"/>
      <c r="K586" s="91"/>
      <c r="L586" s="91"/>
      <c r="M586" s="91"/>
      <c r="N586" s="438"/>
      <c r="O586" s="389"/>
      <c r="Q586" s="389"/>
      <c r="S586" s="389"/>
      <c r="U586" s="389"/>
      <c r="V586" s="389"/>
    </row>
    <row r="587" spans="1:22" s="131" customFormat="1" ht="12.75">
      <c r="A587" s="24"/>
      <c r="B587" s="24"/>
      <c r="C587" s="24"/>
      <c r="D587" s="24"/>
      <c r="E587" s="24"/>
      <c r="F587" s="24"/>
      <c r="G587" s="91"/>
      <c r="H587" s="91"/>
      <c r="I587" s="91"/>
      <c r="J587" s="91"/>
      <c r="K587" s="91"/>
      <c r="L587" s="91"/>
      <c r="M587" s="91"/>
      <c r="N587" s="438"/>
      <c r="O587" s="389"/>
      <c r="Q587" s="389"/>
      <c r="S587" s="389"/>
      <c r="U587" s="389"/>
      <c r="V587" s="389"/>
    </row>
    <row r="588" spans="8:22" s="131" customFormat="1" ht="12.75">
      <c r="H588" s="91"/>
      <c r="L588" s="389"/>
      <c r="M588" s="389"/>
      <c r="N588" s="681"/>
      <c r="O588" s="389"/>
      <c r="Q588" s="389"/>
      <c r="S588" s="389"/>
      <c r="U588" s="389"/>
      <c r="V588" s="389"/>
    </row>
    <row r="589" spans="6:8" ht="12.75">
      <c r="F589" s="131"/>
      <c r="H589" s="52"/>
    </row>
    <row r="590" spans="1:8" ht="13.5" thickBot="1">
      <c r="A590" s="12"/>
      <c r="B590" s="12"/>
      <c r="C590" s="12"/>
      <c r="D590" s="12"/>
      <c r="E590" s="12"/>
      <c r="F590" s="12"/>
      <c r="G590" s="12"/>
      <c r="H590" s="52"/>
    </row>
    <row r="591" spans="1:22" ht="13.5" thickBot="1">
      <c r="A591" s="177" t="s">
        <v>44</v>
      </c>
      <c r="B591" s="178"/>
      <c r="C591" s="178"/>
      <c r="D591" s="179"/>
      <c r="E591" s="179"/>
      <c r="F591" s="179"/>
      <c r="G591" s="15" t="s">
        <v>23</v>
      </c>
      <c r="H591" s="136"/>
      <c r="I591" s="137" t="s">
        <v>395</v>
      </c>
      <c r="J591" s="216"/>
      <c r="K591" s="10" t="s">
        <v>25</v>
      </c>
      <c r="L591" s="238" t="s">
        <v>645</v>
      </c>
      <c r="M591" s="403" t="s">
        <v>296</v>
      </c>
      <c r="N591" s="426" t="s">
        <v>684</v>
      </c>
      <c r="O591" s="403" t="s">
        <v>296</v>
      </c>
      <c r="P591" s="426" t="s">
        <v>683</v>
      </c>
      <c r="Q591" s="415" t="s">
        <v>296</v>
      </c>
      <c r="R591" s="426" t="s">
        <v>681</v>
      </c>
      <c r="S591" s="415" t="s">
        <v>296</v>
      </c>
      <c r="T591" s="426" t="s">
        <v>681</v>
      </c>
      <c r="U591" s="415" t="s">
        <v>296</v>
      </c>
      <c r="V591" s="785" t="s">
        <v>681</v>
      </c>
    </row>
    <row r="592" spans="1:22" ht="16.5" thickTop="1">
      <c r="A592" s="239" t="s">
        <v>161</v>
      </c>
      <c r="B592" s="181" t="s">
        <v>162</v>
      </c>
      <c r="C592" s="240"/>
      <c r="D592" s="12"/>
      <c r="E592" s="12"/>
      <c r="F592" s="12"/>
      <c r="G592" s="11" t="s">
        <v>45</v>
      </c>
      <c r="H592" s="32" t="s">
        <v>27</v>
      </c>
      <c r="I592" s="6" t="s">
        <v>92</v>
      </c>
      <c r="J592" s="108" t="s">
        <v>29</v>
      </c>
      <c r="K592" s="33" t="s">
        <v>46</v>
      </c>
      <c r="L592" s="208"/>
      <c r="M592" s="25" t="s">
        <v>297</v>
      </c>
      <c r="N592" s="425"/>
      <c r="O592" s="25" t="s">
        <v>750</v>
      </c>
      <c r="P592" s="547"/>
      <c r="Q592" s="416" t="s">
        <v>896</v>
      </c>
      <c r="R592" s="547"/>
      <c r="S592" s="416" t="s">
        <v>957</v>
      </c>
      <c r="T592" s="547"/>
      <c r="U592" s="416" t="s">
        <v>252</v>
      </c>
      <c r="V592" s="786"/>
    </row>
    <row r="593" spans="1:22" ht="13.5" thickBot="1">
      <c r="A593" s="183"/>
      <c r="B593" s="184"/>
      <c r="C593" s="185"/>
      <c r="D593" s="37"/>
      <c r="E593" s="37"/>
      <c r="F593" s="37"/>
      <c r="G593" s="83"/>
      <c r="H593" s="84">
        <v>38335</v>
      </c>
      <c r="I593" s="148">
        <v>38587</v>
      </c>
      <c r="J593" s="110" t="s">
        <v>31</v>
      </c>
      <c r="K593" s="33" t="s">
        <v>32</v>
      </c>
      <c r="L593" s="242"/>
      <c r="M593" s="404"/>
      <c r="N593" s="429"/>
      <c r="O593" s="404"/>
      <c r="P593" s="548"/>
      <c r="Q593" s="411"/>
      <c r="R593" s="548"/>
      <c r="S593" s="411"/>
      <c r="T593" s="548"/>
      <c r="U593" s="411"/>
      <c r="V593" s="787"/>
    </row>
    <row r="594" spans="1:22" ht="13.5" thickBot="1">
      <c r="A594" s="186" t="s">
        <v>47</v>
      </c>
      <c r="B594" s="187"/>
      <c r="C594" s="39"/>
      <c r="D594" s="188" t="s">
        <v>48</v>
      </c>
      <c r="E594" s="19"/>
      <c r="F594" s="19"/>
      <c r="G594" s="152">
        <v>1</v>
      </c>
      <c r="H594" s="41">
        <v>2</v>
      </c>
      <c r="I594" s="22">
        <v>3</v>
      </c>
      <c r="J594" s="22">
        <v>4</v>
      </c>
      <c r="K594" s="40">
        <v>1</v>
      </c>
      <c r="L594" s="599">
        <v>1</v>
      </c>
      <c r="M594" s="409"/>
      <c r="N594" s="424"/>
      <c r="O594" s="409"/>
      <c r="P594" s="551"/>
      <c r="R594" s="556"/>
      <c r="T594" s="556"/>
      <c r="V594" s="785"/>
    </row>
    <row r="595" spans="1:22" s="28" customFormat="1" ht="15">
      <c r="A595" s="445"/>
      <c r="B595" s="445" t="s">
        <v>228</v>
      </c>
      <c r="C595" s="372"/>
      <c r="D595" s="372"/>
      <c r="E595" s="372"/>
      <c r="F595" s="460"/>
      <c r="G595" s="583">
        <f aca="true" t="shared" si="147" ref="G595:L595">SUM(G597)</f>
        <v>140</v>
      </c>
      <c r="H595" s="448">
        <f t="shared" si="147"/>
        <v>150</v>
      </c>
      <c r="I595" s="448">
        <f t="shared" si="147"/>
        <v>150</v>
      </c>
      <c r="J595" s="448">
        <f t="shared" si="147"/>
        <v>102</v>
      </c>
      <c r="K595" s="448">
        <f t="shared" si="147"/>
        <v>200</v>
      </c>
      <c r="L595" s="390">
        <f t="shared" si="147"/>
        <v>200</v>
      </c>
      <c r="M595" s="584"/>
      <c r="N595" s="585"/>
      <c r="O595" s="370">
        <v>107</v>
      </c>
      <c r="P595" s="432">
        <f>SUM(O595/L595)*100</f>
        <v>53.5</v>
      </c>
      <c r="Q595" s="124">
        <v>107</v>
      </c>
      <c r="R595" s="485">
        <f>SUM(Q595/L595)*100</f>
        <v>53.5</v>
      </c>
      <c r="S595" s="392">
        <v>107</v>
      </c>
      <c r="T595" s="567">
        <f>SUM(S595/L595)*100</f>
        <v>53.5</v>
      </c>
      <c r="U595" s="392">
        <v>107</v>
      </c>
      <c r="V595" s="503">
        <v>107</v>
      </c>
    </row>
    <row r="596" spans="1:20" ht="12.75">
      <c r="A596" s="23"/>
      <c r="B596" s="72"/>
      <c r="C596" s="70"/>
      <c r="D596" s="24"/>
      <c r="E596" s="24"/>
      <c r="F596" s="58"/>
      <c r="G596" s="24"/>
      <c r="H596" s="92"/>
      <c r="I596" s="92"/>
      <c r="J596" s="92"/>
      <c r="K596" s="14"/>
      <c r="L596" s="26"/>
      <c r="M596" s="416"/>
      <c r="N596" s="425"/>
      <c r="P596" s="547"/>
      <c r="R596" s="547"/>
      <c r="S596" s="25"/>
      <c r="T596" s="547"/>
    </row>
    <row r="597" spans="1:22" ht="12.75">
      <c r="A597" s="199">
        <v>637</v>
      </c>
      <c r="B597" s="199" t="s">
        <v>288</v>
      </c>
      <c r="C597" s="70"/>
      <c r="D597" s="24"/>
      <c r="E597" s="24"/>
      <c r="F597" s="58"/>
      <c r="G597" s="49">
        <f aca="true" t="shared" si="148" ref="G597:L597">SUM(G598)</f>
        <v>140</v>
      </c>
      <c r="H597" s="66">
        <f t="shared" si="148"/>
        <v>150</v>
      </c>
      <c r="I597" s="66">
        <f t="shared" si="148"/>
        <v>150</v>
      </c>
      <c r="J597" s="66">
        <f t="shared" si="148"/>
        <v>102</v>
      </c>
      <c r="K597" s="66">
        <f t="shared" si="148"/>
        <v>200</v>
      </c>
      <c r="L597" s="50">
        <f t="shared" si="148"/>
        <v>200</v>
      </c>
      <c r="M597" s="416"/>
      <c r="N597" s="425"/>
      <c r="O597" s="399">
        <v>107</v>
      </c>
      <c r="P597" s="433">
        <f>SUM(O597/L597)*100</f>
        <v>53.5</v>
      </c>
      <c r="Q597" s="399">
        <v>107</v>
      </c>
      <c r="R597" s="433">
        <f>SUM(Q597/L597)*100</f>
        <v>53.5</v>
      </c>
      <c r="S597" s="197">
        <v>107</v>
      </c>
      <c r="T597" s="433">
        <f>SUM(S597/L597)*100</f>
        <v>53.5</v>
      </c>
      <c r="U597" s="399">
        <v>107</v>
      </c>
      <c r="V597" s="399">
        <v>107</v>
      </c>
    </row>
    <row r="598" spans="1:22" ht="13.5" thickBot="1">
      <c r="A598" s="248">
        <v>637005</v>
      </c>
      <c r="B598" s="248" t="s">
        <v>410</v>
      </c>
      <c r="C598" s="77"/>
      <c r="D598" s="212"/>
      <c r="E598" s="212"/>
      <c r="F598" s="249"/>
      <c r="G598" s="212">
        <v>140</v>
      </c>
      <c r="H598" s="250">
        <v>150</v>
      </c>
      <c r="I598" s="250">
        <v>150</v>
      </c>
      <c r="J598" s="250">
        <v>102</v>
      </c>
      <c r="K598" s="21">
        <v>200</v>
      </c>
      <c r="L598" s="27">
        <v>200</v>
      </c>
      <c r="M598" s="411"/>
      <c r="N598" s="429"/>
      <c r="O598" s="411">
        <v>107</v>
      </c>
      <c r="P598" s="443">
        <f>SUM(O598/L598)*100</f>
        <v>53.5</v>
      </c>
      <c r="Q598" s="411">
        <v>107</v>
      </c>
      <c r="R598" s="443">
        <f>SUM(Q598/L598)*100</f>
        <v>53.5</v>
      </c>
      <c r="S598" s="404">
        <v>107</v>
      </c>
      <c r="T598" s="443">
        <f>SUM(S598/L598)*100</f>
        <v>53.5</v>
      </c>
      <c r="U598" s="31">
        <v>107</v>
      </c>
      <c r="V598" s="31">
        <v>107</v>
      </c>
    </row>
    <row r="599" spans="1:8" ht="12.75">
      <c r="A599" s="24"/>
      <c r="B599" s="69"/>
      <c r="C599" s="70"/>
      <c r="D599" s="24"/>
      <c r="E599" s="24"/>
      <c r="F599" s="24"/>
      <c r="G599" s="24"/>
      <c r="H599" s="91"/>
    </row>
    <row r="600" spans="1:8" ht="12.75">
      <c r="A600" t="s">
        <v>947</v>
      </c>
      <c r="B600" s="69"/>
      <c r="C600" s="70"/>
      <c r="D600" s="24"/>
      <c r="E600" s="24"/>
      <c r="F600" s="24"/>
      <c r="G600" s="24"/>
      <c r="H600" s="91"/>
    </row>
    <row r="602" ht="13.5" thickBot="1"/>
    <row r="603" spans="1:22" ht="13.5" thickBot="1">
      <c r="A603" s="177" t="s">
        <v>44</v>
      </c>
      <c r="B603" s="178"/>
      <c r="C603" s="178"/>
      <c r="D603" s="179"/>
      <c r="E603" s="179"/>
      <c r="F603" s="179"/>
      <c r="G603" s="15" t="s">
        <v>23</v>
      </c>
      <c r="H603" s="136"/>
      <c r="I603" s="137" t="s">
        <v>395</v>
      </c>
      <c r="J603" s="216"/>
      <c r="K603" s="10" t="s">
        <v>25</v>
      </c>
      <c r="L603" s="238" t="s">
        <v>645</v>
      </c>
      <c r="M603" s="403" t="s">
        <v>296</v>
      </c>
      <c r="N603" s="426" t="s">
        <v>684</v>
      </c>
      <c r="O603" s="403" t="s">
        <v>296</v>
      </c>
      <c r="P603" s="426" t="s">
        <v>683</v>
      </c>
      <c r="Q603" s="415" t="s">
        <v>296</v>
      </c>
      <c r="R603" s="426" t="s">
        <v>681</v>
      </c>
      <c r="S603" s="415" t="s">
        <v>296</v>
      </c>
      <c r="T603" s="426" t="s">
        <v>681</v>
      </c>
      <c r="U603" s="415" t="s">
        <v>296</v>
      </c>
      <c r="V603" s="785" t="s">
        <v>681</v>
      </c>
    </row>
    <row r="604" spans="1:22" ht="16.5" thickTop="1">
      <c r="A604" s="239" t="s">
        <v>163</v>
      </c>
      <c r="B604" s="181" t="s">
        <v>164</v>
      </c>
      <c r="C604" s="240"/>
      <c r="D604" s="12"/>
      <c r="E604" s="12"/>
      <c r="F604" s="12"/>
      <c r="G604" s="11" t="s">
        <v>45</v>
      </c>
      <c r="H604" s="32" t="s">
        <v>27</v>
      </c>
      <c r="I604" s="6" t="s">
        <v>92</v>
      </c>
      <c r="J604" s="108" t="s">
        <v>29</v>
      </c>
      <c r="K604" s="33" t="s">
        <v>46</v>
      </c>
      <c r="L604" s="208"/>
      <c r="M604" s="25" t="s">
        <v>297</v>
      </c>
      <c r="N604" s="425"/>
      <c r="O604" s="25" t="s">
        <v>750</v>
      </c>
      <c r="P604" s="547"/>
      <c r="Q604" s="416" t="s">
        <v>896</v>
      </c>
      <c r="R604" s="547"/>
      <c r="S604" s="416" t="s">
        <v>957</v>
      </c>
      <c r="T604" s="547"/>
      <c r="U604" s="416" t="s">
        <v>252</v>
      </c>
      <c r="V604" s="786"/>
    </row>
    <row r="605" spans="1:22" ht="13.5" thickBot="1">
      <c r="A605" s="183"/>
      <c r="B605" s="184"/>
      <c r="C605" s="185"/>
      <c r="D605" s="37"/>
      <c r="E605" s="37"/>
      <c r="F605" s="37"/>
      <c r="G605" s="83"/>
      <c r="H605" s="84">
        <v>38335</v>
      </c>
      <c r="I605" s="148">
        <v>38587</v>
      </c>
      <c r="J605" s="110" t="s">
        <v>31</v>
      </c>
      <c r="K605" s="33" t="s">
        <v>32</v>
      </c>
      <c r="L605" s="242"/>
      <c r="M605" s="404"/>
      <c r="N605" s="429"/>
      <c r="O605" s="404"/>
      <c r="P605" s="548"/>
      <c r="Q605" s="411"/>
      <c r="R605" s="548"/>
      <c r="S605" s="411"/>
      <c r="T605" s="548"/>
      <c r="U605" s="411"/>
      <c r="V605" s="787"/>
    </row>
    <row r="606" spans="1:22" ht="13.5" thickBot="1">
      <c r="A606" s="186" t="s">
        <v>47</v>
      </c>
      <c r="B606" s="187"/>
      <c r="C606" s="39"/>
      <c r="D606" s="188" t="s">
        <v>48</v>
      </c>
      <c r="E606" s="19"/>
      <c r="F606" s="19"/>
      <c r="G606" s="152">
        <v>1</v>
      </c>
      <c r="H606" s="41">
        <v>2</v>
      </c>
      <c r="I606" s="188">
        <v>3</v>
      </c>
      <c r="J606" s="22">
        <v>4</v>
      </c>
      <c r="K606" s="40">
        <v>1</v>
      </c>
      <c r="L606" s="599">
        <v>1</v>
      </c>
      <c r="M606" s="409"/>
      <c r="N606" s="424"/>
      <c r="P606" s="547"/>
      <c r="R606" s="556"/>
      <c r="S606" s="415"/>
      <c r="T606" s="5"/>
      <c r="U606" s="415"/>
      <c r="V606" s="788"/>
    </row>
    <row r="607" spans="1:21" ht="15">
      <c r="A607" s="444"/>
      <c r="B607" s="445" t="s">
        <v>228</v>
      </c>
      <c r="C607" s="373"/>
      <c r="D607" s="373"/>
      <c r="E607" s="373"/>
      <c r="F607" s="446"/>
      <c r="G607" s="447">
        <f aca="true" t="shared" si="149" ref="G607:U607">G609+G611+G613+G616+G621+G626+G629+G636</f>
        <v>795</v>
      </c>
      <c r="H607" s="448">
        <f t="shared" si="149"/>
        <v>910</v>
      </c>
      <c r="I607" s="448">
        <f t="shared" si="149"/>
        <v>925</v>
      </c>
      <c r="J607" s="448">
        <f t="shared" si="149"/>
        <v>389</v>
      </c>
      <c r="K607" s="448">
        <f t="shared" si="149"/>
        <v>1006</v>
      </c>
      <c r="L607" s="390">
        <f t="shared" si="149"/>
        <v>1035</v>
      </c>
      <c r="M607" s="392">
        <f t="shared" si="149"/>
        <v>150</v>
      </c>
      <c r="N607" s="440">
        <f>SUM(M607/L607)*100</f>
        <v>14.492753623188406</v>
      </c>
      <c r="O607" s="392">
        <f t="shared" si="149"/>
        <v>221</v>
      </c>
      <c r="P607" s="567">
        <f>SUM(O607/L607)*100</f>
        <v>21.35265700483092</v>
      </c>
      <c r="Q607" s="392">
        <f t="shared" si="149"/>
        <v>364</v>
      </c>
      <c r="R607" s="567">
        <f>SUM(Q607/L607)*100</f>
        <v>35.169082125603865</v>
      </c>
      <c r="S607" s="535">
        <f t="shared" si="149"/>
        <v>419</v>
      </c>
      <c r="T607" s="567">
        <f>SUM(S607/L607)*100</f>
        <v>40.48309178743961</v>
      </c>
      <c r="U607" s="535">
        <f t="shared" si="149"/>
        <v>501</v>
      </c>
    </row>
    <row r="608" spans="1:20" ht="12.75">
      <c r="A608" s="251"/>
      <c r="B608" s="251"/>
      <c r="C608" s="162"/>
      <c r="D608" s="12"/>
      <c r="E608" s="12"/>
      <c r="F608" s="13"/>
      <c r="G608" s="14"/>
      <c r="H608" s="13"/>
      <c r="I608" s="13"/>
      <c r="J608" s="13"/>
      <c r="K608" s="14"/>
      <c r="L608" s="26"/>
      <c r="N608" s="425"/>
      <c r="P608" s="547"/>
      <c r="R608" s="547"/>
      <c r="S608" s="416"/>
      <c r="T608" s="13"/>
    </row>
    <row r="609" spans="1:21" ht="12.75">
      <c r="A609" s="199">
        <v>610</v>
      </c>
      <c r="B609" s="199" t="s">
        <v>411</v>
      </c>
      <c r="C609" s="49"/>
      <c r="D609" s="237"/>
      <c r="E609" s="237"/>
      <c r="F609" s="132"/>
      <c r="G609" s="198">
        <v>506</v>
      </c>
      <c r="H609" s="198">
        <v>557</v>
      </c>
      <c r="I609" s="198">
        <v>557</v>
      </c>
      <c r="J609" s="198">
        <v>215</v>
      </c>
      <c r="K609" s="198">
        <v>615</v>
      </c>
      <c r="L609" s="50">
        <v>615</v>
      </c>
      <c r="M609" s="399">
        <v>98</v>
      </c>
      <c r="N609" s="433">
        <f>SUM(M609/L609)*100</f>
        <v>15.934959349593496</v>
      </c>
      <c r="O609" s="399">
        <v>147</v>
      </c>
      <c r="P609" s="433">
        <f>SUM(O609/L609)*100</f>
        <v>23.902439024390244</v>
      </c>
      <c r="Q609" s="399">
        <v>248</v>
      </c>
      <c r="R609" s="433">
        <f>SUM(Q609/L609)*100</f>
        <v>40.32520325203252</v>
      </c>
      <c r="S609" s="542">
        <v>248</v>
      </c>
      <c r="T609" s="540">
        <f>SUM(S609/L609)*100</f>
        <v>40.32520325203252</v>
      </c>
      <c r="U609" s="399">
        <v>305</v>
      </c>
    </row>
    <row r="610" spans="1:20" ht="12.75">
      <c r="A610" s="23"/>
      <c r="B610" s="23"/>
      <c r="C610" s="252"/>
      <c r="D610" s="12"/>
      <c r="E610" s="12"/>
      <c r="F610" s="13"/>
      <c r="G610" s="14"/>
      <c r="H610" s="13"/>
      <c r="I610" s="13"/>
      <c r="J610" s="13"/>
      <c r="K610" s="198"/>
      <c r="L610" s="193"/>
      <c r="N610" s="425"/>
      <c r="P610" s="547"/>
      <c r="R610" s="547"/>
      <c r="S610" s="416"/>
      <c r="T610" s="13"/>
    </row>
    <row r="611" spans="1:22" ht="12.75">
      <c r="A611" s="199">
        <v>620</v>
      </c>
      <c r="B611" s="199" t="s">
        <v>412</v>
      </c>
      <c r="C611" s="49"/>
      <c r="D611" s="12"/>
      <c r="E611" s="12"/>
      <c r="F611" s="13"/>
      <c r="G611" s="198">
        <v>177</v>
      </c>
      <c r="H611" s="253">
        <v>210</v>
      </c>
      <c r="I611" s="253">
        <v>210</v>
      </c>
      <c r="J611" s="253">
        <v>78</v>
      </c>
      <c r="K611" s="198">
        <v>223</v>
      </c>
      <c r="L611" s="50">
        <v>223</v>
      </c>
      <c r="M611" s="399">
        <v>36</v>
      </c>
      <c r="N611" s="433">
        <f>SUM(M611/L611)*100</f>
        <v>16.143497757847534</v>
      </c>
      <c r="O611" s="399">
        <v>54</v>
      </c>
      <c r="P611" s="433">
        <f>SUM(O611/L611)*100</f>
        <v>24.2152466367713</v>
      </c>
      <c r="Q611" s="399">
        <v>91</v>
      </c>
      <c r="R611" s="433">
        <f>SUM(Q611/L611)*100</f>
        <v>40.80717488789238</v>
      </c>
      <c r="S611" s="542">
        <v>91</v>
      </c>
      <c r="T611" s="540">
        <f>SUM(S611/L611)*100</f>
        <v>40.80717488789238</v>
      </c>
      <c r="U611" s="399">
        <v>112</v>
      </c>
      <c r="V611" s="399"/>
    </row>
    <row r="612" spans="1:20" ht="12.75">
      <c r="A612" s="23"/>
      <c r="B612" s="23"/>
      <c r="C612" s="252"/>
      <c r="D612" s="12"/>
      <c r="E612" s="12"/>
      <c r="F612" s="13"/>
      <c r="G612" s="14"/>
      <c r="H612" s="13"/>
      <c r="I612" s="13"/>
      <c r="J612" s="13"/>
      <c r="K612" s="14"/>
      <c r="L612" s="26"/>
      <c r="N612" s="425"/>
      <c r="P612" s="547"/>
      <c r="R612" s="547"/>
      <c r="S612" s="416"/>
      <c r="T612" s="13"/>
    </row>
    <row r="613" spans="1:22" ht="12.75">
      <c r="A613" s="199">
        <v>631</v>
      </c>
      <c r="B613" s="199" t="s">
        <v>231</v>
      </c>
      <c r="C613" s="252"/>
      <c r="D613" s="12"/>
      <c r="E613" s="12"/>
      <c r="F613" s="13"/>
      <c r="G613" s="198">
        <v>1</v>
      </c>
      <c r="H613" s="253">
        <v>1</v>
      </c>
      <c r="I613" s="253">
        <v>1</v>
      </c>
      <c r="J613" s="253">
        <v>0</v>
      </c>
      <c r="K613" s="66">
        <v>1</v>
      </c>
      <c r="L613" s="50">
        <v>1</v>
      </c>
      <c r="N613" s="425"/>
      <c r="P613" s="547"/>
      <c r="Q613" s="399">
        <v>1</v>
      </c>
      <c r="R613" s="433">
        <f>SUM(Q613/L613)*100</f>
        <v>100</v>
      </c>
      <c r="S613" s="542">
        <v>1</v>
      </c>
      <c r="T613" s="540">
        <f>SUM(S613/L613)*100</f>
        <v>100</v>
      </c>
      <c r="U613" s="399">
        <v>1</v>
      </c>
      <c r="V613" s="399"/>
    </row>
    <row r="614" spans="1:21" ht="12.75">
      <c r="A614" s="23">
        <v>631001</v>
      </c>
      <c r="B614" s="23" t="s">
        <v>232</v>
      </c>
      <c r="C614" s="252"/>
      <c r="D614" s="12"/>
      <c r="E614" s="12"/>
      <c r="F614" s="13"/>
      <c r="G614" s="14"/>
      <c r="H614" s="13"/>
      <c r="I614" s="13"/>
      <c r="J614" s="13"/>
      <c r="K614" s="14"/>
      <c r="L614" s="26"/>
      <c r="N614" s="425"/>
      <c r="P614" s="547"/>
      <c r="Q614" s="31">
        <v>1</v>
      </c>
      <c r="R614" s="547"/>
      <c r="S614" s="416">
        <v>1</v>
      </c>
      <c r="T614" s="13"/>
      <c r="U614" s="31">
        <v>1</v>
      </c>
    </row>
    <row r="615" spans="1:20" ht="14.25">
      <c r="A615" s="254"/>
      <c r="B615" s="254"/>
      <c r="C615" s="12"/>
      <c r="D615" s="12"/>
      <c r="E615" s="12"/>
      <c r="F615" s="13"/>
      <c r="G615" s="14"/>
      <c r="H615" s="13"/>
      <c r="I615" s="13"/>
      <c r="J615" s="13"/>
      <c r="K615" s="14"/>
      <c r="L615" s="26"/>
      <c r="N615" s="425"/>
      <c r="P615" s="547"/>
      <c r="R615" s="547"/>
      <c r="S615" s="416"/>
      <c r="T615" s="13"/>
    </row>
    <row r="616" spans="1:21" ht="12.75">
      <c r="A616" s="199">
        <v>632</v>
      </c>
      <c r="B616" s="199" t="s">
        <v>234</v>
      </c>
      <c r="C616" s="252"/>
      <c r="D616" s="12"/>
      <c r="E616" s="12"/>
      <c r="F616" s="13"/>
      <c r="G616" s="198">
        <v>15</v>
      </c>
      <c r="H616" s="48">
        <v>22</v>
      </c>
      <c r="I616" s="48">
        <v>22</v>
      </c>
      <c r="J616" s="48">
        <f>SUM(J617:J619)</f>
        <v>25</v>
      </c>
      <c r="K616" s="48">
        <v>24</v>
      </c>
      <c r="L616" s="319">
        <v>50</v>
      </c>
      <c r="M616" s="399">
        <f>SUM(M617:M619)</f>
        <v>12</v>
      </c>
      <c r="N616" s="433">
        <f>SUM(M616/L616)*100</f>
        <v>24</v>
      </c>
      <c r="O616" s="399">
        <f>SUM(O617:O619)</f>
        <v>16</v>
      </c>
      <c r="P616" s="433">
        <f>SUM(O616/L616)*100</f>
        <v>32</v>
      </c>
      <c r="Q616" s="399">
        <f>SUM(Q617:Q619)</f>
        <v>18</v>
      </c>
      <c r="R616" s="433">
        <f>SUM(Q616/L616)*100</f>
        <v>36</v>
      </c>
      <c r="S616" s="542">
        <f>SUM(S617:S619)</f>
        <v>24</v>
      </c>
      <c r="T616" s="540">
        <f>SUM(S616/L616)*100</f>
        <v>48</v>
      </c>
      <c r="U616" s="542">
        <f>SUM(U617:U619)</f>
        <v>27</v>
      </c>
    </row>
    <row r="617" spans="1:21" ht="12.75">
      <c r="A617" s="23">
        <v>632001</v>
      </c>
      <c r="B617" s="23" t="s">
        <v>413</v>
      </c>
      <c r="C617" s="252"/>
      <c r="D617" s="12"/>
      <c r="E617" s="12"/>
      <c r="F617" s="13"/>
      <c r="G617" s="71"/>
      <c r="H617" s="48"/>
      <c r="I617" s="48"/>
      <c r="J617" s="58">
        <v>12</v>
      </c>
      <c r="K617" s="14"/>
      <c r="L617" s="26"/>
      <c r="M617" s="31">
        <v>9</v>
      </c>
      <c r="N617" s="425"/>
      <c r="O617" s="31">
        <v>11</v>
      </c>
      <c r="P617" s="547"/>
      <c r="Q617" s="31">
        <v>12</v>
      </c>
      <c r="R617" s="547"/>
      <c r="S617" s="416">
        <v>16</v>
      </c>
      <c r="T617" s="13"/>
      <c r="U617" s="31">
        <v>17</v>
      </c>
    </row>
    <row r="618" spans="1:21" ht="12.75">
      <c r="A618" s="23">
        <v>632002</v>
      </c>
      <c r="B618" s="23" t="s">
        <v>239</v>
      </c>
      <c r="C618" s="252"/>
      <c r="D618" s="12"/>
      <c r="E618" s="12"/>
      <c r="F618" s="13"/>
      <c r="G618" s="71"/>
      <c r="H618" s="48"/>
      <c r="I618" s="48"/>
      <c r="J618" s="58">
        <v>1</v>
      </c>
      <c r="K618" s="14"/>
      <c r="L618" s="26"/>
      <c r="N618" s="425"/>
      <c r="P618" s="547"/>
      <c r="R618" s="547"/>
      <c r="S618" s="416">
        <v>1</v>
      </c>
      <c r="T618" s="13"/>
      <c r="U618" s="31">
        <v>1</v>
      </c>
    </row>
    <row r="619" spans="1:21" ht="12.75">
      <c r="A619" s="23">
        <v>632003</v>
      </c>
      <c r="B619" s="23" t="s">
        <v>414</v>
      </c>
      <c r="C619" s="252"/>
      <c r="D619" s="12"/>
      <c r="E619" s="12"/>
      <c r="F619" s="13"/>
      <c r="G619" s="14">
        <v>15</v>
      </c>
      <c r="H619" s="13"/>
      <c r="I619" s="13"/>
      <c r="J619" s="13">
        <v>12</v>
      </c>
      <c r="K619" s="14"/>
      <c r="L619" s="26"/>
      <c r="M619" s="31">
        <v>3</v>
      </c>
      <c r="N619" s="425"/>
      <c r="O619" s="31">
        <v>5</v>
      </c>
      <c r="P619" s="547"/>
      <c r="Q619" s="31">
        <v>6</v>
      </c>
      <c r="R619" s="547"/>
      <c r="S619" s="416">
        <v>7</v>
      </c>
      <c r="T619" s="13"/>
      <c r="U619" s="31">
        <v>9</v>
      </c>
    </row>
    <row r="620" spans="1:20" ht="14.25">
      <c r="A620" s="254"/>
      <c r="B620" s="254"/>
      <c r="C620" s="12"/>
      <c r="D620" s="12"/>
      <c r="E620" s="12"/>
      <c r="F620" s="13"/>
      <c r="G620" s="14"/>
      <c r="H620" s="13"/>
      <c r="I620" s="13"/>
      <c r="J620" s="13"/>
      <c r="K620" s="14"/>
      <c r="L620" s="26"/>
      <c r="N620" s="425"/>
      <c r="P620" s="547"/>
      <c r="R620" s="547"/>
      <c r="S620" s="416"/>
      <c r="T620" s="13"/>
    </row>
    <row r="621" spans="1:21" ht="12.75">
      <c r="A621" s="199">
        <v>633</v>
      </c>
      <c r="B621" s="199" t="s">
        <v>245</v>
      </c>
      <c r="C621" s="252"/>
      <c r="D621" s="12"/>
      <c r="E621" s="12"/>
      <c r="F621" s="13"/>
      <c r="G621" s="198">
        <f aca="true" t="shared" si="150" ref="G621:U621">SUM(G622:G624)</f>
        <v>9</v>
      </c>
      <c r="H621" s="66">
        <f t="shared" si="150"/>
        <v>20</v>
      </c>
      <c r="I621" s="66">
        <f t="shared" si="150"/>
        <v>20</v>
      </c>
      <c r="J621" s="66">
        <f t="shared" si="150"/>
        <v>10</v>
      </c>
      <c r="K621" s="66">
        <f t="shared" si="150"/>
        <v>25</v>
      </c>
      <c r="L621" s="50">
        <f t="shared" si="150"/>
        <v>25</v>
      </c>
      <c r="M621" s="197">
        <f t="shared" si="150"/>
        <v>3</v>
      </c>
      <c r="N621" s="433">
        <f>SUM(M621/L621)*100</f>
        <v>12</v>
      </c>
      <c r="O621" s="197">
        <f t="shared" si="150"/>
        <v>2</v>
      </c>
      <c r="P621" s="433">
        <f>SUM(O621/L621)*100</f>
        <v>8</v>
      </c>
      <c r="Q621" s="197">
        <f t="shared" si="150"/>
        <v>2</v>
      </c>
      <c r="R621" s="433">
        <f>SUM(Q621/L621)*100</f>
        <v>8</v>
      </c>
      <c r="S621" s="542">
        <f t="shared" si="150"/>
        <v>3</v>
      </c>
      <c r="T621" s="540">
        <f>SUM(S621/L621)*100</f>
        <v>12</v>
      </c>
      <c r="U621" s="542">
        <f t="shared" si="150"/>
        <v>3</v>
      </c>
    </row>
    <row r="622" spans="1:20" ht="12.75">
      <c r="A622" s="23">
        <v>633001</v>
      </c>
      <c r="B622" s="23" t="s">
        <v>249</v>
      </c>
      <c r="C622" s="252"/>
      <c r="D622" s="12"/>
      <c r="E622" s="12"/>
      <c r="F622" s="13"/>
      <c r="G622" s="14">
        <v>0</v>
      </c>
      <c r="H622" s="54">
        <v>5</v>
      </c>
      <c r="I622" s="54">
        <v>5</v>
      </c>
      <c r="J622" s="54">
        <v>0</v>
      </c>
      <c r="K622" s="14">
        <v>5</v>
      </c>
      <c r="L622" s="26">
        <v>5</v>
      </c>
      <c r="M622" s="31">
        <v>0</v>
      </c>
      <c r="N622" s="425"/>
      <c r="P622" s="547"/>
      <c r="R622" s="547"/>
      <c r="S622" s="416"/>
      <c r="T622" s="13"/>
    </row>
    <row r="623" spans="1:21" ht="12.75">
      <c r="A623" s="125">
        <v>633006</v>
      </c>
      <c r="B623" s="11" t="s">
        <v>415</v>
      </c>
      <c r="C623" s="12"/>
      <c r="D623" s="12"/>
      <c r="E623" s="12"/>
      <c r="F623" s="13"/>
      <c r="G623" s="14">
        <v>6</v>
      </c>
      <c r="H623" s="54">
        <v>10</v>
      </c>
      <c r="I623" s="54">
        <v>10</v>
      </c>
      <c r="J623" s="54">
        <v>3</v>
      </c>
      <c r="K623" s="14">
        <v>10</v>
      </c>
      <c r="L623" s="26">
        <v>10</v>
      </c>
      <c r="M623" s="31">
        <v>1</v>
      </c>
      <c r="N623" s="430">
        <f>SUM(M623/L623)*100</f>
        <v>10</v>
      </c>
      <c r="O623" s="31">
        <v>1</v>
      </c>
      <c r="P623" s="430">
        <f>SUM(O623/L623)*100</f>
        <v>10</v>
      </c>
      <c r="Q623" s="31">
        <v>1</v>
      </c>
      <c r="R623" s="430">
        <f>SUM(Q623/L623)*100</f>
        <v>10</v>
      </c>
      <c r="S623" s="416">
        <v>1</v>
      </c>
      <c r="T623" s="537">
        <f>SUM(S623/L623)*100</f>
        <v>10</v>
      </c>
      <c r="U623" s="31">
        <v>1</v>
      </c>
    </row>
    <row r="624" spans="1:21" ht="12.75">
      <c r="A624" s="23"/>
      <c r="B624" s="11" t="s">
        <v>416</v>
      </c>
      <c r="C624" s="12"/>
      <c r="D624" s="12"/>
      <c r="E624" s="12"/>
      <c r="F624" s="13"/>
      <c r="G624" s="14">
        <v>3</v>
      </c>
      <c r="H624" s="54">
        <v>5</v>
      </c>
      <c r="I624" s="54">
        <v>5</v>
      </c>
      <c r="J624" s="54">
        <v>7</v>
      </c>
      <c r="K624" s="14">
        <v>10</v>
      </c>
      <c r="L624" s="26">
        <v>10</v>
      </c>
      <c r="M624" s="31">
        <v>2</v>
      </c>
      <c r="N624" s="430">
        <f>SUM(M624/L624)*100</f>
        <v>20</v>
      </c>
      <c r="O624" s="31">
        <v>1</v>
      </c>
      <c r="P624" s="430">
        <f>SUM(O624/L624)*100</f>
        <v>10</v>
      </c>
      <c r="Q624" s="31">
        <v>1</v>
      </c>
      <c r="R624" s="430">
        <f>SUM(Q624/L624)*100</f>
        <v>10</v>
      </c>
      <c r="S624" s="416">
        <v>2</v>
      </c>
      <c r="T624" s="537">
        <f>SUM(S624/L624)*100</f>
        <v>20</v>
      </c>
      <c r="U624" s="31">
        <v>2</v>
      </c>
    </row>
    <row r="625" spans="1:20" ht="12.75">
      <c r="A625" s="255"/>
      <c r="B625" s="11"/>
      <c r="C625" s="12"/>
      <c r="D625" s="12"/>
      <c r="E625" s="12"/>
      <c r="F625" s="13"/>
      <c r="G625" s="14"/>
      <c r="H625" s="13"/>
      <c r="I625" s="13"/>
      <c r="J625" s="13"/>
      <c r="K625" s="14"/>
      <c r="L625" s="26"/>
      <c r="N625" s="425"/>
      <c r="P625" s="547"/>
      <c r="R625" s="547"/>
      <c r="S625" s="416"/>
      <c r="T625" s="13"/>
    </row>
    <row r="626" spans="1:20" ht="12.75">
      <c r="A626" s="256">
        <v>635</v>
      </c>
      <c r="B626" s="199" t="s">
        <v>277</v>
      </c>
      <c r="C626" s="24"/>
      <c r="D626" s="12"/>
      <c r="E626" s="12"/>
      <c r="F626" s="13"/>
      <c r="G626" s="198">
        <f>SUM(G627)</f>
        <v>0</v>
      </c>
      <c r="H626" s="48">
        <v>2</v>
      </c>
      <c r="I626" s="48">
        <v>2</v>
      </c>
      <c r="J626" s="48">
        <v>0</v>
      </c>
      <c r="K626" s="48">
        <f>SUM(K627)</f>
        <v>2</v>
      </c>
      <c r="L626" s="319">
        <f>SUM(L627)</f>
        <v>2</v>
      </c>
      <c r="M626" s="31">
        <v>0</v>
      </c>
      <c r="N626" s="425"/>
      <c r="P626" s="547"/>
      <c r="R626" s="547"/>
      <c r="S626" s="542">
        <v>0</v>
      </c>
      <c r="T626" s="13"/>
    </row>
    <row r="627" spans="1:20" ht="12.75">
      <c r="A627" s="125">
        <v>635006</v>
      </c>
      <c r="B627" s="23" t="s">
        <v>285</v>
      </c>
      <c r="C627" s="12"/>
      <c r="D627" s="12"/>
      <c r="E627" s="12"/>
      <c r="F627" s="13"/>
      <c r="G627" s="14">
        <v>0</v>
      </c>
      <c r="H627" s="13"/>
      <c r="I627" s="13"/>
      <c r="J627" s="13">
        <v>0</v>
      </c>
      <c r="K627" s="14">
        <v>2</v>
      </c>
      <c r="L627" s="26">
        <v>2</v>
      </c>
      <c r="N627" s="425"/>
      <c r="P627" s="547"/>
      <c r="R627" s="547"/>
      <c r="S627" s="416">
        <v>0</v>
      </c>
      <c r="T627" s="13"/>
    </row>
    <row r="628" spans="1:20" ht="12.75">
      <c r="A628" s="255"/>
      <c r="B628" s="11"/>
      <c r="C628" s="12"/>
      <c r="D628" s="12"/>
      <c r="E628" s="12"/>
      <c r="F628" s="13"/>
      <c r="G628" s="14"/>
      <c r="H628" s="13"/>
      <c r="I628" s="13"/>
      <c r="J628" s="13"/>
      <c r="K628" s="14"/>
      <c r="L628" s="26"/>
      <c r="N628" s="425"/>
      <c r="P628" s="547"/>
      <c r="R628" s="547"/>
      <c r="S628" s="416"/>
      <c r="T628" s="13"/>
    </row>
    <row r="629" spans="1:21" ht="12.75">
      <c r="A629" s="256">
        <v>637</v>
      </c>
      <c r="B629" s="199" t="s">
        <v>288</v>
      </c>
      <c r="C629" s="24"/>
      <c r="D629" s="12"/>
      <c r="E629" s="12"/>
      <c r="F629" s="13"/>
      <c r="G629" s="198">
        <f aca="true" t="shared" si="151" ref="G629:U629">SUM(G630:G634)</f>
        <v>84</v>
      </c>
      <c r="H629" s="66">
        <f t="shared" si="151"/>
        <v>92</v>
      </c>
      <c r="I629" s="66">
        <f t="shared" si="151"/>
        <v>107</v>
      </c>
      <c r="J629" s="66">
        <f t="shared" si="151"/>
        <v>61</v>
      </c>
      <c r="K629" s="66">
        <f t="shared" si="151"/>
        <v>105</v>
      </c>
      <c r="L629" s="50">
        <f t="shared" si="151"/>
        <v>108</v>
      </c>
      <c r="M629" s="197">
        <f t="shared" si="151"/>
        <v>1</v>
      </c>
      <c r="N629" s="433">
        <f>SUM(M629/L629)*100</f>
        <v>0.9259259259259258</v>
      </c>
      <c r="O629" s="197">
        <f t="shared" si="151"/>
        <v>2</v>
      </c>
      <c r="P629" s="433">
        <f>SUM(O629/L629)*100</f>
        <v>1.8518518518518516</v>
      </c>
      <c r="Q629" s="197">
        <f t="shared" si="151"/>
        <v>3</v>
      </c>
      <c r="R629" s="433">
        <f>SUM(Q629/L629)*100</f>
        <v>2.7777777777777777</v>
      </c>
      <c r="S629" s="542">
        <f t="shared" si="151"/>
        <v>51</v>
      </c>
      <c r="T629" s="540">
        <f>SUM(S629/L629)*100</f>
        <v>47.22222222222222</v>
      </c>
      <c r="U629" s="542">
        <f t="shared" si="151"/>
        <v>52</v>
      </c>
    </row>
    <row r="630" spans="1:20" ht="12.75">
      <c r="A630" s="125">
        <v>637001</v>
      </c>
      <c r="B630" s="23" t="s">
        <v>289</v>
      </c>
      <c r="C630" s="24"/>
      <c r="D630" s="24"/>
      <c r="E630" s="24"/>
      <c r="F630" s="58"/>
      <c r="G630" s="14">
        <v>2</v>
      </c>
      <c r="H630" s="54">
        <v>3</v>
      </c>
      <c r="I630" s="54">
        <v>3</v>
      </c>
      <c r="J630" s="54">
        <v>0</v>
      </c>
      <c r="K630" s="14">
        <v>3</v>
      </c>
      <c r="L630" s="26">
        <v>3</v>
      </c>
      <c r="N630" s="425"/>
      <c r="P630" s="547"/>
      <c r="R630" s="547"/>
      <c r="S630" s="416">
        <v>0</v>
      </c>
      <c r="T630" s="13"/>
    </row>
    <row r="631" spans="1:21" ht="12.75">
      <c r="A631" s="125">
        <v>637016</v>
      </c>
      <c r="B631" s="23" t="s">
        <v>375</v>
      </c>
      <c r="C631" s="24"/>
      <c r="D631" s="12"/>
      <c r="E631" s="12"/>
      <c r="F631" s="13"/>
      <c r="G631" s="14">
        <v>6</v>
      </c>
      <c r="H631" s="54">
        <v>9</v>
      </c>
      <c r="I631" s="54">
        <v>9</v>
      </c>
      <c r="J631" s="54">
        <v>3</v>
      </c>
      <c r="K631" s="14">
        <v>7</v>
      </c>
      <c r="L631" s="26">
        <v>9</v>
      </c>
      <c r="M631" s="31">
        <v>1</v>
      </c>
      <c r="N631" s="430">
        <f>SUM(M631/L631)*100</f>
        <v>11.11111111111111</v>
      </c>
      <c r="O631" s="31">
        <v>2</v>
      </c>
      <c r="P631" s="430">
        <f>SUM(O631/L631)*100</f>
        <v>22.22222222222222</v>
      </c>
      <c r="Q631" s="31">
        <v>3</v>
      </c>
      <c r="R631" s="430">
        <f>SUM(Q631/L631)*100</f>
        <v>33.33333333333333</v>
      </c>
      <c r="S631" s="416">
        <v>3</v>
      </c>
      <c r="T631" s="537">
        <f>SUM(S631/L631)*100</f>
        <v>33.33333333333333</v>
      </c>
      <c r="U631" s="31">
        <v>4</v>
      </c>
    </row>
    <row r="632" spans="1:21" ht="12.75">
      <c r="A632" s="125">
        <v>637013</v>
      </c>
      <c r="B632" s="11" t="s">
        <v>417</v>
      </c>
      <c r="C632" s="12"/>
      <c r="D632" s="12"/>
      <c r="E632" s="12"/>
      <c r="F632" s="13"/>
      <c r="G632" s="14">
        <v>0</v>
      </c>
      <c r="H632" s="54">
        <v>15</v>
      </c>
      <c r="I632" s="54">
        <v>30</v>
      </c>
      <c r="J632" s="54">
        <v>30</v>
      </c>
      <c r="K632" s="14">
        <v>30</v>
      </c>
      <c r="L632" s="26">
        <v>30</v>
      </c>
      <c r="N632" s="425"/>
      <c r="P632" s="547"/>
      <c r="R632" s="547"/>
      <c r="S632" s="416">
        <v>30</v>
      </c>
      <c r="T632" s="537">
        <f>SUM(S632/L632)*100</f>
        <v>100</v>
      </c>
      <c r="U632" s="31">
        <v>30</v>
      </c>
    </row>
    <row r="633" spans="1:21" ht="12.75">
      <c r="A633" s="125">
        <v>637014</v>
      </c>
      <c r="B633" s="11" t="s">
        <v>373</v>
      </c>
      <c r="C633" s="12"/>
      <c r="D633" s="12"/>
      <c r="E633" s="12"/>
      <c r="F633" s="13"/>
      <c r="G633" s="14">
        <v>34</v>
      </c>
      <c r="H633" s="54">
        <v>35</v>
      </c>
      <c r="I633" s="54">
        <v>35</v>
      </c>
      <c r="J633" s="54">
        <v>8</v>
      </c>
      <c r="K633" s="14">
        <v>35</v>
      </c>
      <c r="L633" s="26">
        <v>36</v>
      </c>
      <c r="N633" s="425"/>
      <c r="P633" s="547"/>
      <c r="R633" s="547"/>
      <c r="S633" s="416">
        <v>18</v>
      </c>
      <c r="T633" s="537">
        <f>SUM(S633/L633)*100</f>
        <v>50</v>
      </c>
      <c r="U633" s="31">
        <v>18</v>
      </c>
    </row>
    <row r="634" spans="1:20" ht="12.75">
      <c r="A634" s="23">
        <v>637027</v>
      </c>
      <c r="B634" s="11" t="s">
        <v>378</v>
      </c>
      <c r="C634" s="12"/>
      <c r="D634" s="12"/>
      <c r="E634" s="12"/>
      <c r="F634" s="13"/>
      <c r="G634" s="14">
        <v>42</v>
      </c>
      <c r="H634" s="54">
        <v>30</v>
      </c>
      <c r="I634" s="54">
        <v>30</v>
      </c>
      <c r="J634" s="54">
        <v>20</v>
      </c>
      <c r="K634" s="14">
        <v>30</v>
      </c>
      <c r="L634" s="26">
        <v>30</v>
      </c>
      <c r="N634" s="425"/>
      <c r="P634" s="547"/>
      <c r="Q634" s="31">
        <v>0</v>
      </c>
      <c r="R634" s="547"/>
      <c r="S634" s="416">
        <v>0</v>
      </c>
      <c r="T634" s="13"/>
    </row>
    <row r="635" spans="1:20" ht="12.75">
      <c r="A635" s="23"/>
      <c r="B635" s="11"/>
      <c r="C635" s="12"/>
      <c r="D635" s="12"/>
      <c r="E635" s="12"/>
      <c r="F635" s="13"/>
      <c r="G635" s="14"/>
      <c r="H635" s="13"/>
      <c r="I635" s="13"/>
      <c r="J635" s="13"/>
      <c r="K635" s="14"/>
      <c r="L635" s="26"/>
      <c r="N635" s="425"/>
      <c r="P635" s="547"/>
      <c r="R635" s="547"/>
      <c r="S635" s="416"/>
      <c r="T635" s="13"/>
    </row>
    <row r="636" spans="1:21" ht="12.75">
      <c r="A636" s="199">
        <v>642</v>
      </c>
      <c r="B636" s="199" t="s">
        <v>380</v>
      </c>
      <c r="C636" s="252"/>
      <c r="D636" s="252"/>
      <c r="E636" s="252"/>
      <c r="F636" s="235"/>
      <c r="G636" s="66">
        <f aca="true" t="shared" si="152" ref="G636:M636">SUM(G637:G638)</f>
        <v>3</v>
      </c>
      <c r="H636" s="66">
        <f t="shared" si="152"/>
        <v>6</v>
      </c>
      <c r="I636" s="66">
        <f t="shared" si="152"/>
        <v>6</v>
      </c>
      <c r="J636" s="66">
        <f t="shared" si="152"/>
        <v>0</v>
      </c>
      <c r="K636" s="66">
        <f t="shared" si="152"/>
        <v>11</v>
      </c>
      <c r="L636" s="50">
        <f t="shared" si="152"/>
        <v>11</v>
      </c>
      <c r="M636" s="197">
        <f t="shared" si="152"/>
        <v>0</v>
      </c>
      <c r="N636" s="425"/>
      <c r="P636" s="547"/>
      <c r="Q636" s="197">
        <f>SUM(Q637:Q638)</f>
        <v>1</v>
      </c>
      <c r="R636" s="433">
        <f>SUM(Q636/L636)*100</f>
        <v>9.090909090909092</v>
      </c>
      <c r="S636" s="542">
        <f>SUM(S637:S638)</f>
        <v>1</v>
      </c>
      <c r="T636" s="540">
        <f>SUM(S636/L636)*100</f>
        <v>9.090909090909092</v>
      </c>
      <c r="U636" s="542">
        <f>SUM(U637:U638)</f>
        <v>1</v>
      </c>
    </row>
    <row r="637" spans="1:20" ht="12.75">
      <c r="A637" s="23">
        <v>642015</v>
      </c>
      <c r="B637" s="23" t="s">
        <v>418</v>
      </c>
      <c r="C637" s="12"/>
      <c r="D637" s="12"/>
      <c r="E637" s="12"/>
      <c r="F637" s="13"/>
      <c r="G637" s="14">
        <v>2</v>
      </c>
      <c r="H637" s="13">
        <v>5</v>
      </c>
      <c r="I637" s="13">
        <v>5</v>
      </c>
      <c r="J637" s="13">
        <v>0</v>
      </c>
      <c r="K637" s="14">
        <v>10</v>
      </c>
      <c r="L637" s="26">
        <v>10</v>
      </c>
      <c r="N637" s="425"/>
      <c r="P637" s="547"/>
      <c r="R637" s="547"/>
      <c r="S637" s="416"/>
      <c r="T637" s="13"/>
    </row>
    <row r="638" spans="1:21" ht="13.5" thickBot="1">
      <c r="A638" s="18">
        <v>642006</v>
      </c>
      <c r="B638" s="18" t="s">
        <v>419</v>
      </c>
      <c r="C638" s="19"/>
      <c r="D638" s="19"/>
      <c r="E638" s="19"/>
      <c r="F638" s="20"/>
      <c r="G638" s="21">
        <v>1</v>
      </c>
      <c r="H638" s="20">
        <v>1</v>
      </c>
      <c r="I638" s="20">
        <v>1</v>
      </c>
      <c r="J638" s="20">
        <v>0</v>
      </c>
      <c r="K638" s="21">
        <v>1</v>
      </c>
      <c r="L638" s="27">
        <v>1</v>
      </c>
      <c r="M638" s="411"/>
      <c r="N638" s="429"/>
      <c r="O638" s="411"/>
      <c r="P638" s="548"/>
      <c r="Q638" s="411">
        <v>1</v>
      </c>
      <c r="R638" s="548"/>
      <c r="S638" s="411">
        <v>1</v>
      </c>
      <c r="T638" s="443">
        <f>SUM(S638/L638)*100</f>
        <v>100</v>
      </c>
      <c r="U638" s="31">
        <v>1</v>
      </c>
    </row>
    <row r="639" spans="1:7" ht="12.75">
      <c r="A639" s="130"/>
      <c r="B639" s="12"/>
      <c r="C639" s="12"/>
      <c r="D639" s="12"/>
      <c r="E639" s="12"/>
      <c r="F639" s="12"/>
      <c r="G639" s="12"/>
    </row>
    <row r="640" spans="1:22" s="131" customFormat="1" ht="12.75">
      <c r="A640" s="131" t="s">
        <v>838</v>
      </c>
      <c r="B640" s="24"/>
      <c r="C640" s="24"/>
      <c r="D640" s="24"/>
      <c r="E640" s="24"/>
      <c r="F640" s="24"/>
      <c r="G640" s="24"/>
      <c r="L640" s="389"/>
      <c r="M640" s="389"/>
      <c r="N640" s="681"/>
      <c r="O640" s="389"/>
      <c r="Q640" s="389"/>
      <c r="S640" s="389"/>
      <c r="U640" s="389"/>
      <c r="V640" s="389"/>
    </row>
    <row r="641" spans="1:22" s="131" customFormat="1" ht="12.75">
      <c r="A641" s="131" t="s">
        <v>839</v>
      </c>
      <c r="B641" s="24"/>
      <c r="C641" s="24"/>
      <c r="D641" s="24"/>
      <c r="E641" s="24"/>
      <c r="F641" s="24"/>
      <c r="G641" s="24"/>
      <c r="L641" s="389"/>
      <c r="M641" s="389"/>
      <c r="N641" s="681"/>
      <c r="O641" s="389"/>
      <c r="Q641" s="389"/>
      <c r="S641" s="389"/>
      <c r="U641" s="389"/>
      <c r="V641" s="389"/>
    </row>
    <row r="642" spans="1:22" s="131" customFormat="1" ht="12.75">
      <c r="A642" s="131" t="s">
        <v>840</v>
      </c>
      <c r="B642" s="24"/>
      <c r="C642" s="24"/>
      <c r="D642" s="24"/>
      <c r="E642" s="24"/>
      <c r="F642" s="24"/>
      <c r="G642" s="24"/>
      <c r="L642" s="389"/>
      <c r="M642" s="389"/>
      <c r="N642" s="681"/>
      <c r="O642" s="389"/>
      <c r="Q642" s="389"/>
      <c r="S642" s="389"/>
      <c r="U642" s="389"/>
      <c r="V642" s="389"/>
    </row>
    <row r="643" spans="1:22" s="131" customFormat="1" ht="12.75">
      <c r="A643" s="131" t="s">
        <v>841</v>
      </c>
      <c r="B643" s="24"/>
      <c r="C643" s="24"/>
      <c r="D643" s="24"/>
      <c r="E643" s="24"/>
      <c r="F643" s="24"/>
      <c r="G643" s="24"/>
      <c r="L643" s="389"/>
      <c r="M643" s="389"/>
      <c r="N643" s="681"/>
      <c r="O643" s="389"/>
      <c r="Q643" s="389"/>
      <c r="S643" s="389"/>
      <c r="U643" s="389"/>
      <c r="V643" s="389"/>
    </row>
    <row r="644" spans="1:22" s="131" customFormat="1" ht="12.75">
      <c r="A644" s="131" t="s">
        <v>842</v>
      </c>
      <c r="B644" s="24"/>
      <c r="C644" s="24"/>
      <c r="D644" s="24"/>
      <c r="E644" s="24"/>
      <c r="F644" s="24"/>
      <c r="G644" s="24"/>
      <c r="L644" s="389"/>
      <c r="M644" s="389"/>
      <c r="N644" s="681"/>
      <c r="O644" s="389"/>
      <c r="Q644" s="389"/>
      <c r="S644" s="389"/>
      <c r="U644" s="389"/>
      <c r="V644" s="389"/>
    </row>
    <row r="645" spans="2:6" ht="12.75">
      <c r="B645" s="12"/>
      <c r="C645" s="12"/>
      <c r="D645" s="12"/>
      <c r="E645" s="12"/>
      <c r="F645" s="12"/>
    </row>
    <row r="646" spans="1:8" ht="15.75">
      <c r="A646" s="257" t="s">
        <v>420</v>
      </c>
      <c r="B646" s="258"/>
      <c r="C646" s="257"/>
      <c r="D646" s="12"/>
      <c r="E646" s="12"/>
      <c r="F646" s="12"/>
      <c r="G646" s="12"/>
      <c r="H646" s="52"/>
    </row>
    <row r="647" spans="1:8" ht="13.5" thickBot="1">
      <c r="A647" s="24"/>
      <c r="B647" s="163"/>
      <c r="C647" s="24"/>
      <c r="D647" s="12"/>
      <c r="E647" s="12"/>
      <c r="F647" s="12"/>
      <c r="G647" s="12"/>
      <c r="H647" s="12"/>
    </row>
    <row r="648" spans="1:22" ht="13.5" thickBot="1">
      <c r="A648" s="177" t="s">
        <v>44</v>
      </c>
      <c r="B648" s="178"/>
      <c r="C648" s="178"/>
      <c r="D648" s="179"/>
      <c r="E648" s="179"/>
      <c r="F648" s="222"/>
      <c r="G648" s="15" t="s">
        <v>23</v>
      </c>
      <c r="H648" s="136"/>
      <c r="I648" s="137" t="s">
        <v>421</v>
      </c>
      <c r="J648" s="216"/>
      <c r="K648" s="10" t="s">
        <v>25</v>
      </c>
      <c r="L648" s="238" t="s">
        <v>645</v>
      </c>
      <c r="M648" s="403" t="s">
        <v>296</v>
      </c>
      <c r="N648" s="426" t="s">
        <v>684</v>
      </c>
      <c r="O648" s="403" t="s">
        <v>296</v>
      </c>
      <c r="P648" s="426" t="s">
        <v>683</v>
      </c>
      <c r="Q648" s="415" t="s">
        <v>296</v>
      </c>
      <c r="R648" s="426" t="s">
        <v>681</v>
      </c>
      <c r="S648" s="403" t="s">
        <v>296</v>
      </c>
      <c r="T648" s="421" t="s">
        <v>681</v>
      </c>
      <c r="U648" s="403" t="s">
        <v>296</v>
      </c>
      <c r="V648" s="30" t="s">
        <v>681</v>
      </c>
    </row>
    <row r="649" spans="1:22" ht="16.5" thickTop="1">
      <c r="A649" s="239" t="s">
        <v>169</v>
      </c>
      <c r="B649" s="181" t="s">
        <v>422</v>
      </c>
      <c r="C649" s="259"/>
      <c r="D649" s="12"/>
      <c r="E649" s="12"/>
      <c r="F649" s="13"/>
      <c r="G649" s="11" t="s">
        <v>45</v>
      </c>
      <c r="H649" s="32" t="s">
        <v>27</v>
      </c>
      <c r="I649" s="6" t="s">
        <v>92</v>
      </c>
      <c r="J649" s="108" t="s">
        <v>29</v>
      </c>
      <c r="K649" s="33" t="s">
        <v>46</v>
      </c>
      <c r="L649" s="208"/>
      <c r="M649" s="25" t="s">
        <v>297</v>
      </c>
      <c r="N649" s="425"/>
      <c r="O649" s="25" t="s">
        <v>750</v>
      </c>
      <c r="P649" s="547"/>
      <c r="Q649" s="416" t="s">
        <v>896</v>
      </c>
      <c r="R649" s="547"/>
      <c r="S649" s="25" t="s">
        <v>957</v>
      </c>
      <c r="T649" s="422"/>
      <c r="U649" s="25" t="s">
        <v>252</v>
      </c>
      <c r="V649" s="26"/>
    </row>
    <row r="650" spans="1:22" ht="13.5" thickBot="1">
      <c r="A650" s="183"/>
      <c r="B650" s="184"/>
      <c r="C650" s="185"/>
      <c r="D650" s="37"/>
      <c r="E650" s="37"/>
      <c r="F650" s="227"/>
      <c r="G650" s="83"/>
      <c r="H650" s="84">
        <v>38335</v>
      </c>
      <c r="I650" s="148">
        <v>38587</v>
      </c>
      <c r="J650" s="110" t="s">
        <v>31</v>
      </c>
      <c r="K650" s="33" t="s">
        <v>32</v>
      </c>
      <c r="L650" s="242"/>
      <c r="M650" s="404"/>
      <c r="N650" s="429"/>
      <c r="O650" s="404"/>
      <c r="P650" s="548"/>
      <c r="Q650" s="411"/>
      <c r="R650" s="548"/>
      <c r="S650" s="404"/>
      <c r="T650" s="423"/>
      <c r="U650" s="404"/>
      <c r="V650" s="27"/>
    </row>
    <row r="651" spans="1:20" ht="13.5" thickBot="1">
      <c r="A651" s="186" t="s">
        <v>47</v>
      </c>
      <c r="B651" s="187"/>
      <c r="C651" s="39"/>
      <c r="D651" s="188" t="s">
        <v>48</v>
      </c>
      <c r="E651" s="19"/>
      <c r="F651" s="20"/>
      <c r="G651" s="152">
        <v>1</v>
      </c>
      <c r="H651" s="41">
        <v>2</v>
      </c>
      <c r="I651" s="188">
        <v>3</v>
      </c>
      <c r="J651" s="22">
        <v>4</v>
      </c>
      <c r="K651" s="40">
        <v>1</v>
      </c>
      <c r="L651" s="599">
        <v>1</v>
      </c>
      <c r="M651" s="409"/>
      <c r="N651" s="424"/>
      <c r="P651" s="547"/>
      <c r="R651" s="556"/>
      <c r="T651" s="556"/>
    </row>
    <row r="652" spans="1:21" ht="15">
      <c r="A652" s="371"/>
      <c r="B652" s="445" t="s">
        <v>228</v>
      </c>
      <c r="C652" s="372"/>
      <c r="D652" s="373"/>
      <c r="E652" s="373"/>
      <c r="F652" s="446"/>
      <c r="G652" s="391" t="e">
        <f>G654+G736</f>
        <v>#REF!</v>
      </c>
      <c r="H652" s="390" t="e">
        <f>H654+H736</f>
        <v>#REF!</v>
      </c>
      <c r="I652" s="390" t="e">
        <f>I654+I736</f>
        <v>#REF!</v>
      </c>
      <c r="J652" s="390" t="e">
        <f>J654+J736</f>
        <v>#REF!</v>
      </c>
      <c r="K652" s="390" t="e">
        <f>K654+K736</f>
        <v>#REF!</v>
      </c>
      <c r="L652" s="390">
        <f>L654+L736+L752</f>
        <v>24327</v>
      </c>
      <c r="M652" s="392" t="e">
        <f>M654+M736+M752</f>
        <v>#REF!</v>
      </c>
      <c r="N652" s="440" t="e">
        <f>SUM(M652/L652)*100</f>
        <v>#REF!</v>
      </c>
      <c r="O652" s="392" t="e">
        <f>O654+O736+O752</f>
        <v>#REF!</v>
      </c>
      <c r="P652" s="567" t="e">
        <f>SUM(O652/L652)*100</f>
        <v>#REF!</v>
      </c>
      <c r="Q652" s="392" t="e">
        <f>Q654+Q736+Q752</f>
        <v>#REF!</v>
      </c>
      <c r="R652" s="567" t="e">
        <f>SUM(O652/L652)*100</f>
        <v>#REF!</v>
      </c>
      <c r="S652" s="392">
        <f>S654+S736+S752</f>
        <v>9085</v>
      </c>
      <c r="T652" s="567">
        <f>SUM(S652/L652)*100</f>
        <v>37.34533645743412</v>
      </c>
      <c r="U652" s="392">
        <f>U654+U736+U752</f>
        <v>10990</v>
      </c>
    </row>
    <row r="653" spans="1:20" ht="12.75">
      <c r="A653" s="14"/>
      <c r="B653" s="11"/>
      <c r="C653" s="12"/>
      <c r="D653" s="12"/>
      <c r="E653" s="12"/>
      <c r="F653" s="13"/>
      <c r="G653" s="52"/>
      <c r="H653" s="14"/>
      <c r="I653" s="14"/>
      <c r="J653" s="14"/>
      <c r="K653" s="14"/>
      <c r="L653" s="26"/>
      <c r="N653" s="425"/>
      <c r="P653" s="547"/>
      <c r="R653" s="547"/>
      <c r="T653" s="547"/>
    </row>
    <row r="654" spans="1:22" s="131" customFormat="1" ht="15">
      <c r="A654" s="61">
        <v>600</v>
      </c>
      <c r="B654" s="98" t="s">
        <v>37</v>
      </c>
      <c r="C654" s="63"/>
      <c r="D654" s="24"/>
      <c r="E654" s="24"/>
      <c r="F654" s="58"/>
      <c r="G654" s="65">
        <f aca="true" t="shared" si="153" ref="G654:L654">G655+G657+G659+G662+G673+G687+G694+G716+G730+G704</f>
        <v>14668</v>
      </c>
      <c r="H654" s="64">
        <f t="shared" si="153"/>
        <v>18668</v>
      </c>
      <c r="I654" s="64">
        <f t="shared" si="153"/>
        <v>17265</v>
      </c>
      <c r="J654" s="64">
        <f t="shared" si="153"/>
        <v>7267</v>
      </c>
      <c r="K654" s="64">
        <f t="shared" si="153"/>
        <v>23336</v>
      </c>
      <c r="L654" s="64">
        <f t="shared" si="153"/>
        <v>21917</v>
      </c>
      <c r="M654" s="413">
        <f>M655+M657+M659+M662+M673+M687+M694+M704+M716+M730</f>
        <v>3223</v>
      </c>
      <c r="N654" s="432">
        <f>SUM(M654/L654)*100</f>
        <v>14.705479764566318</v>
      </c>
      <c r="O654" s="413">
        <f>O655+O657+O659+O662+O673+O687+O694+O704+O716+O730</f>
        <v>5038</v>
      </c>
      <c r="P654" s="432">
        <f>SUM(O654/L654)*100</f>
        <v>22.98672263539718</v>
      </c>
      <c r="Q654" s="413">
        <f>Q655+Q657+Q659+Q662+Q673+Q687+Q694+Q704+Q716+Q730</f>
        <v>7881</v>
      </c>
      <c r="R654" s="432">
        <f>SUM(Q654/L654)*100</f>
        <v>35.95838846557467</v>
      </c>
      <c r="S654" s="413">
        <f>S655+S657+S659+S662+S673+S687+S694+S704+S716+S730</f>
        <v>8178</v>
      </c>
      <c r="T654" s="432">
        <f>SUM(S654/L654)*100</f>
        <v>37.31350093534699</v>
      </c>
      <c r="U654" s="413">
        <f>U655+U657+U659+U662+U673+U687+U694+U704+U716+U730</f>
        <v>10028</v>
      </c>
      <c r="V654" s="389"/>
    </row>
    <row r="655" spans="1:22" ht="12.75">
      <c r="A655" s="66">
        <v>610</v>
      </c>
      <c r="B655" s="199" t="s">
        <v>423</v>
      </c>
      <c r="C655" s="49"/>
      <c r="D655" s="12"/>
      <c r="E655" s="12"/>
      <c r="F655" s="13"/>
      <c r="G655" s="194">
        <v>7761</v>
      </c>
      <c r="H655" s="193">
        <v>9195</v>
      </c>
      <c r="I655" s="193">
        <v>9273</v>
      </c>
      <c r="J655" s="193">
        <v>3636</v>
      </c>
      <c r="K655" s="193">
        <v>12000</v>
      </c>
      <c r="L655" s="193">
        <f>10875+150+500</f>
        <v>11525</v>
      </c>
      <c r="M655" s="195">
        <v>1674</v>
      </c>
      <c r="N655" s="442">
        <f>SUM(M655/L655)*100</f>
        <v>14.524945770065075</v>
      </c>
      <c r="O655" s="574">
        <v>2570</v>
      </c>
      <c r="P655" s="442">
        <f>SUM(O655/L655)*100</f>
        <v>22.29934924078091</v>
      </c>
      <c r="Q655" s="574">
        <v>4323</v>
      </c>
      <c r="R655" s="442">
        <f>SUM(Q655/L655)*100</f>
        <v>37.509761388286336</v>
      </c>
      <c r="S655" s="574">
        <v>4317</v>
      </c>
      <c r="T655" s="442">
        <f>SUM(S655/L655)*100</f>
        <v>37.45770065075922</v>
      </c>
      <c r="U655" s="574">
        <v>5396</v>
      </c>
      <c r="V655" s="574"/>
    </row>
    <row r="656" spans="1:20" ht="12.75">
      <c r="A656" s="14"/>
      <c r="B656" s="11"/>
      <c r="C656" s="12"/>
      <c r="D656" s="12"/>
      <c r="E656" s="12"/>
      <c r="F656" s="13"/>
      <c r="G656" s="52"/>
      <c r="H656" s="14"/>
      <c r="I656" s="14"/>
      <c r="J656" s="14"/>
      <c r="K656" s="198"/>
      <c r="L656" s="193"/>
      <c r="N656" s="425"/>
      <c r="P656" s="547"/>
      <c r="R656" s="547"/>
      <c r="T656" s="547"/>
    </row>
    <row r="657" spans="1:22" ht="12.75">
      <c r="A657" s="66">
        <v>620</v>
      </c>
      <c r="B657" s="199" t="s">
        <v>424</v>
      </c>
      <c r="C657" s="49"/>
      <c r="D657" s="12"/>
      <c r="E657" s="12"/>
      <c r="F657" s="13"/>
      <c r="G657" s="194">
        <v>2734</v>
      </c>
      <c r="H657" s="193">
        <v>3259</v>
      </c>
      <c r="I657" s="193">
        <v>3287</v>
      </c>
      <c r="J657" s="193">
        <v>1276</v>
      </c>
      <c r="K657" s="193">
        <v>4320</v>
      </c>
      <c r="L657" s="193">
        <v>4029</v>
      </c>
      <c r="M657" s="195">
        <v>588</v>
      </c>
      <c r="N657" s="442">
        <f>SUM(M657/L657)*100</f>
        <v>14.594192107222636</v>
      </c>
      <c r="O657" s="574">
        <v>900</v>
      </c>
      <c r="P657" s="442">
        <f>SUM(O657/L657)*100</f>
        <v>22.338049143708115</v>
      </c>
      <c r="Q657" s="574">
        <v>1518</v>
      </c>
      <c r="R657" s="442">
        <f>SUM(Q657/L657)*100</f>
        <v>37.676842889054356</v>
      </c>
      <c r="S657" s="574">
        <v>1518</v>
      </c>
      <c r="T657" s="442">
        <f>SUM(S657/L657)*100</f>
        <v>37.676842889054356</v>
      </c>
      <c r="U657" s="574">
        <v>1892</v>
      </c>
      <c r="V657" s="574"/>
    </row>
    <row r="658" spans="1:20" ht="12.75">
      <c r="A658" s="14"/>
      <c r="B658" s="11"/>
      <c r="C658" s="12"/>
      <c r="D658" s="12"/>
      <c r="E658" s="12"/>
      <c r="F658" s="13"/>
      <c r="G658" s="52"/>
      <c r="H658" s="14"/>
      <c r="I658" s="14"/>
      <c r="J658" s="14"/>
      <c r="K658" s="14"/>
      <c r="L658" s="26"/>
      <c r="N658" s="425"/>
      <c r="P658" s="547"/>
      <c r="R658" s="547"/>
      <c r="T658" s="547"/>
    </row>
    <row r="659" spans="1:22" ht="12.75">
      <c r="A659" s="66">
        <v>631</v>
      </c>
      <c r="B659" s="199" t="s">
        <v>231</v>
      </c>
      <c r="C659" s="49"/>
      <c r="D659" s="12"/>
      <c r="E659" s="12"/>
      <c r="F659" s="13"/>
      <c r="G659" s="194">
        <f>SUM(G660)</f>
        <v>112</v>
      </c>
      <c r="H659" s="193">
        <f aca="true" t="shared" si="154" ref="H659:O659">H660</f>
        <v>90</v>
      </c>
      <c r="I659" s="193">
        <f t="shared" si="154"/>
        <v>140</v>
      </c>
      <c r="J659" s="193">
        <f t="shared" si="154"/>
        <v>133</v>
      </c>
      <c r="K659" s="193">
        <f t="shared" si="154"/>
        <v>250</v>
      </c>
      <c r="L659" s="193">
        <f t="shared" si="154"/>
        <v>200</v>
      </c>
      <c r="M659" s="195">
        <f t="shared" si="154"/>
        <v>1</v>
      </c>
      <c r="N659" s="442">
        <f>SUM(M659/L659)*100</f>
        <v>0.5</v>
      </c>
      <c r="O659" s="195">
        <f t="shared" si="154"/>
        <v>2</v>
      </c>
      <c r="P659" s="442">
        <f>SUM(O659/L659)*100</f>
        <v>1</v>
      </c>
      <c r="Q659" s="195">
        <v>57</v>
      </c>
      <c r="R659" s="442">
        <f>SUM(Q659/L659)*100</f>
        <v>28.499999999999996</v>
      </c>
      <c r="S659" s="195">
        <v>56</v>
      </c>
      <c r="T659" s="442">
        <f>SUM(S659/L659)*100</f>
        <v>28.000000000000004</v>
      </c>
      <c r="U659" s="574">
        <v>76</v>
      </c>
      <c r="V659" s="574"/>
    </row>
    <row r="660" spans="1:21" ht="12.75">
      <c r="A660" s="53">
        <v>631001</v>
      </c>
      <c r="B660" s="93" t="s">
        <v>232</v>
      </c>
      <c r="C660" s="55"/>
      <c r="D660" s="12"/>
      <c r="E660" s="12"/>
      <c r="F660" s="13"/>
      <c r="G660" s="52">
        <v>112</v>
      </c>
      <c r="H660" s="14">
        <v>90</v>
      </c>
      <c r="I660" s="14">
        <v>140</v>
      </c>
      <c r="J660" s="14">
        <v>133</v>
      </c>
      <c r="K660" s="14">
        <v>250</v>
      </c>
      <c r="L660" s="26">
        <v>200</v>
      </c>
      <c r="M660" s="31">
        <v>1</v>
      </c>
      <c r="N660" s="430">
        <f>SUM(M660/L660)*100</f>
        <v>0.5</v>
      </c>
      <c r="O660" s="31">
        <v>2</v>
      </c>
      <c r="P660" s="430">
        <f>SUM(O660/L660)*100</f>
        <v>1</v>
      </c>
      <c r="Q660" s="31">
        <v>57</v>
      </c>
      <c r="R660" s="430">
        <f>SUM(Q660/L660)*100</f>
        <v>28.499999999999996</v>
      </c>
      <c r="S660" s="31">
        <v>56</v>
      </c>
      <c r="T660" s="430">
        <f>SUM(S660/L660)*100</f>
        <v>28.000000000000004</v>
      </c>
      <c r="U660" s="31">
        <v>76</v>
      </c>
    </row>
    <row r="661" spans="1:20" ht="12.75">
      <c r="A661" s="14"/>
      <c r="B661" s="11"/>
      <c r="C661" s="12"/>
      <c r="D661" s="12"/>
      <c r="E661" s="12"/>
      <c r="F661" s="13"/>
      <c r="G661" s="52"/>
      <c r="H661" s="14"/>
      <c r="I661" s="14"/>
      <c r="J661" s="14"/>
      <c r="K661" s="14"/>
      <c r="L661" s="26"/>
      <c r="N661" s="425"/>
      <c r="P661" s="547"/>
      <c r="R661" s="547"/>
      <c r="T661" s="547"/>
    </row>
    <row r="662" spans="1:21" ht="12.75">
      <c r="A662" s="66">
        <v>632</v>
      </c>
      <c r="B662" s="199" t="s">
        <v>234</v>
      </c>
      <c r="C662" s="49"/>
      <c r="D662" s="12"/>
      <c r="E662" s="12"/>
      <c r="F662" s="13"/>
      <c r="G662" s="194">
        <f aca="true" t="shared" si="155" ref="G662:U662">SUM(G664:G671)</f>
        <v>649</v>
      </c>
      <c r="H662" s="193">
        <f t="shared" si="155"/>
        <v>822</v>
      </c>
      <c r="I662" s="193">
        <f t="shared" si="155"/>
        <v>847</v>
      </c>
      <c r="J662" s="193">
        <f t="shared" si="155"/>
        <v>365</v>
      </c>
      <c r="K662" s="193">
        <f t="shared" si="155"/>
        <v>1501</v>
      </c>
      <c r="L662" s="193">
        <f t="shared" si="155"/>
        <v>1065</v>
      </c>
      <c r="M662" s="195">
        <f t="shared" si="155"/>
        <v>298</v>
      </c>
      <c r="N662" s="442">
        <f>SUM(M662/L662)*100</f>
        <v>27.981220657276996</v>
      </c>
      <c r="O662" s="195">
        <f t="shared" si="155"/>
        <v>322</v>
      </c>
      <c r="P662" s="442">
        <f>SUM(O662/L662)*100</f>
        <v>30.23474178403756</v>
      </c>
      <c r="Q662" s="195">
        <f t="shared" si="155"/>
        <v>389</v>
      </c>
      <c r="R662" s="442">
        <f>SUM(Q662/L662)*100</f>
        <v>36.52582159624413</v>
      </c>
      <c r="S662" s="195">
        <f t="shared" si="155"/>
        <v>521</v>
      </c>
      <c r="T662" s="442">
        <f>SUM(S662/L662)*100</f>
        <v>48.920187793427225</v>
      </c>
      <c r="U662" s="195">
        <f t="shared" si="155"/>
        <v>529</v>
      </c>
    </row>
    <row r="663" spans="1:20" ht="12.75">
      <c r="A663" s="53">
        <v>632001</v>
      </c>
      <c r="B663" s="23" t="s">
        <v>235</v>
      </c>
      <c r="C663" s="49"/>
      <c r="D663" s="12"/>
      <c r="E663" s="12"/>
      <c r="F663" s="13"/>
      <c r="G663" s="52"/>
      <c r="H663" s="50"/>
      <c r="I663" s="50"/>
      <c r="J663" s="50"/>
      <c r="K663" s="14"/>
      <c r="L663" s="26"/>
      <c r="N663" s="425"/>
      <c r="P663" s="547"/>
      <c r="R663" s="547"/>
      <c r="T663" s="547"/>
    </row>
    <row r="664" spans="1:21" ht="12.75">
      <c r="A664" s="14"/>
      <c r="B664" s="93" t="s">
        <v>236</v>
      </c>
      <c r="C664" s="55"/>
      <c r="D664" s="12"/>
      <c r="E664" s="12"/>
      <c r="F664" s="13"/>
      <c r="G664" s="52">
        <v>196</v>
      </c>
      <c r="H664" s="56">
        <v>200</v>
      </c>
      <c r="I664" s="56">
        <v>200</v>
      </c>
      <c r="J664" s="56">
        <v>60</v>
      </c>
      <c r="K664" s="14">
        <f>330+50</f>
        <v>380</v>
      </c>
      <c r="L664" s="26">
        <v>200</v>
      </c>
      <c r="M664" s="31">
        <v>3</v>
      </c>
      <c r="N664" s="430">
        <f>SUM(M664/L664)*100</f>
        <v>1.5</v>
      </c>
      <c r="O664" s="31">
        <v>3</v>
      </c>
      <c r="P664" s="430">
        <f>SUM(O664/L664)*100</f>
        <v>1.5</v>
      </c>
      <c r="Q664" s="31">
        <v>2</v>
      </c>
      <c r="R664" s="430">
        <f>SUM(Q664/L664)*100</f>
        <v>1</v>
      </c>
      <c r="S664" s="31">
        <v>80</v>
      </c>
      <c r="T664" s="430">
        <f>SUM(S664/L664)*100</f>
        <v>40</v>
      </c>
      <c r="U664" s="31">
        <v>80</v>
      </c>
    </row>
    <row r="665" spans="1:21" ht="12.75">
      <c r="A665" s="53"/>
      <c r="B665" s="93" t="s">
        <v>425</v>
      </c>
      <c r="C665" s="55"/>
      <c r="D665" s="12"/>
      <c r="E665" s="12"/>
      <c r="F665" s="13"/>
      <c r="G665" s="52">
        <v>154</v>
      </c>
      <c r="H665" s="56">
        <v>280</v>
      </c>
      <c r="I665" s="56">
        <v>280</v>
      </c>
      <c r="J665" s="56">
        <v>125</v>
      </c>
      <c r="K665" s="14">
        <v>430</v>
      </c>
      <c r="L665" s="26">
        <v>360</v>
      </c>
      <c r="M665" s="31">
        <v>196</v>
      </c>
      <c r="N665" s="430">
        <f>SUM(M665/L665)*100</f>
        <v>54.44444444444444</v>
      </c>
      <c r="O665" s="31">
        <v>196</v>
      </c>
      <c r="P665" s="430">
        <f>SUM(O665/L665)*100</f>
        <v>54.44444444444444</v>
      </c>
      <c r="Q665" s="31">
        <v>231</v>
      </c>
      <c r="R665" s="430">
        <f>SUM(Q665/L665)*100</f>
        <v>64.16666666666667</v>
      </c>
      <c r="S665" s="31">
        <v>258</v>
      </c>
      <c r="T665" s="430">
        <f>SUM(S665/L665)*100</f>
        <v>71.66666666666667</v>
      </c>
      <c r="U665" s="31">
        <v>258</v>
      </c>
    </row>
    <row r="666" spans="1:21" ht="12.75">
      <c r="A666" s="53"/>
      <c r="B666" s="93" t="s">
        <v>426</v>
      </c>
      <c r="C666" s="55"/>
      <c r="D666" s="12"/>
      <c r="E666" s="12"/>
      <c r="F666" s="13"/>
      <c r="G666" s="52">
        <v>0</v>
      </c>
      <c r="H666" s="56">
        <v>0</v>
      </c>
      <c r="I666" s="56">
        <v>10</v>
      </c>
      <c r="J666" s="56">
        <v>0</v>
      </c>
      <c r="K666" s="14">
        <v>26</v>
      </c>
      <c r="L666" s="26">
        <v>26</v>
      </c>
      <c r="M666" s="31">
        <v>17</v>
      </c>
      <c r="N666" s="430">
        <f>SUM(M666/L666)*100</f>
        <v>65.38461538461539</v>
      </c>
      <c r="O666" s="31">
        <v>17</v>
      </c>
      <c r="P666" s="430">
        <f>SUM(O666/L666)*100</f>
        <v>65.38461538461539</v>
      </c>
      <c r="Q666" s="31">
        <v>21</v>
      </c>
      <c r="R666" s="430">
        <f>SUM(Q666/L666)*100</f>
        <v>80.76923076923077</v>
      </c>
      <c r="S666" s="31">
        <v>25</v>
      </c>
      <c r="T666" s="430">
        <f>SUM(S666/L666)*100</f>
        <v>96.15384615384616</v>
      </c>
      <c r="U666" s="31">
        <v>25</v>
      </c>
    </row>
    <row r="667" spans="1:21" ht="12.75">
      <c r="A667" s="71">
        <v>632002</v>
      </c>
      <c r="B667" s="23" t="s">
        <v>239</v>
      </c>
      <c r="C667" s="24"/>
      <c r="D667" s="24"/>
      <c r="E667" s="24"/>
      <c r="F667" s="58"/>
      <c r="G667" s="52">
        <v>72</v>
      </c>
      <c r="H667" s="56">
        <v>90</v>
      </c>
      <c r="I667" s="56">
        <v>90</v>
      </c>
      <c r="J667" s="56">
        <v>68</v>
      </c>
      <c r="K667" s="14">
        <v>250</v>
      </c>
      <c r="L667" s="26">
        <v>200</v>
      </c>
      <c r="M667" s="31">
        <v>18</v>
      </c>
      <c r="N667" s="430">
        <f>SUM(M667/L667)*100</f>
        <v>9</v>
      </c>
      <c r="O667" s="31">
        <v>18</v>
      </c>
      <c r="P667" s="430">
        <f>SUM(O667/L667)*100</f>
        <v>9</v>
      </c>
      <c r="Q667" s="31">
        <v>26</v>
      </c>
      <c r="R667" s="430">
        <f>SUM(Q667/L667)*100</f>
        <v>13</v>
      </c>
      <c r="S667" s="31">
        <v>27</v>
      </c>
      <c r="T667" s="430">
        <f>SUM(S667/L667)*100</f>
        <v>13.5</v>
      </c>
      <c r="U667" s="31">
        <v>27</v>
      </c>
    </row>
    <row r="668" spans="1:20" ht="12.75">
      <c r="A668" s="71">
        <v>632003</v>
      </c>
      <c r="B668" s="23" t="s">
        <v>240</v>
      </c>
      <c r="C668" s="24"/>
      <c r="D668" s="24"/>
      <c r="E668" s="24"/>
      <c r="F668" s="58"/>
      <c r="G668" s="52"/>
      <c r="H668" s="56"/>
      <c r="I668" s="56"/>
      <c r="J668" s="56"/>
      <c r="K668" s="14"/>
      <c r="L668" s="26"/>
      <c r="N668" s="425"/>
      <c r="P668" s="547"/>
      <c r="R668" s="547"/>
      <c r="T668" s="547"/>
    </row>
    <row r="669" spans="1:22" s="627" customFormat="1" ht="12">
      <c r="A669" s="204"/>
      <c r="B669" s="637" t="s">
        <v>427</v>
      </c>
      <c r="C669" s="203"/>
      <c r="D669" s="203"/>
      <c r="E669" s="203"/>
      <c r="F669" s="632"/>
      <c r="G669" s="201">
        <v>227</v>
      </c>
      <c r="H669" s="94">
        <v>250</v>
      </c>
      <c r="I669" s="94">
        <v>250</v>
      </c>
      <c r="J669" s="94">
        <v>112</v>
      </c>
      <c r="K669" s="204">
        <v>386</v>
      </c>
      <c r="L669" s="94">
        <v>250</v>
      </c>
      <c r="M669" s="562">
        <v>62</v>
      </c>
      <c r="N669" s="563">
        <f>SUM(M669/L669)*100</f>
        <v>24.8</v>
      </c>
      <c r="O669" s="562">
        <v>85</v>
      </c>
      <c r="P669" s="563">
        <f>SUM(O669/L669)*100</f>
        <v>34</v>
      </c>
      <c r="Q669" s="562">
        <v>105</v>
      </c>
      <c r="R669" s="563">
        <f>SUM(Q669/L669)*100</f>
        <v>42</v>
      </c>
      <c r="S669" s="562">
        <v>126</v>
      </c>
      <c r="T669" s="563">
        <f>SUM(S669/L669)*100</f>
        <v>50.4</v>
      </c>
      <c r="U669" s="562">
        <v>134</v>
      </c>
      <c r="V669" s="562"/>
    </row>
    <row r="670" spans="1:22" s="627" customFormat="1" ht="12">
      <c r="A670" s="204"/>
      <c r="B670" s="637" t="s">
        <v>428</v>
      </c>
      <c r="C670" s="203"/>
      <c r="D670" s="203"/>
      <c r="E670" s="203"/>
      <c r="F670" s="632"/>
      <c r="G670" s="201">
        <v>0</v>
      </c>
      <c r="H670" s="94">
        <v>0</v>
      </c>
      <c r="I670" s="94">
        <v>15</v>
      </c>
      <c r="J670" s="94">
        <v>0</v>
      </c>
      <c r="K670" s="204">
        <v>27</v>
      </c>
      <c r="L670" s="94">
        <v>27</v>
      </c>
      <c r="M670" s="562">
        <v>2</v>
      </c>
      <c r="N670" s="563">
        <f>SUM(M670/L670)*100</f>
        <v>7.4074074074074066</v>
      </c>
      <c r="O670" s="562">
        <v>3</v>
      </c>
      <c r="P670" s="563">
        <f>SUM(O670/L670)*100</f>
        <v>11.11111111111111</v>
      </c>
      <c r="Q670" s="562">
        <v>3</v>
      </c>
      <c r="R670" s="563">
        <f>SUM(Q670/L670)*100</f>
        <v>11.11111111111111</v>
      </c>
      <c r="S670" s="562">
        <v>4</v>
      </c>
      <c r="T670" s="563">
        <f>SUM(S670/L670)*100</f>
        <v>14.814814814814813</v>
      </c>
      <c r="U670" s="562">
        <v>4</v>
      </c>
      <c r="V670" s="562"/>
    </row>
    <row r="671" spans="1:22" s="627" customFormat="1" ht="12">
      <c r="A671" s="204"/>
      <c r="B671" s="637" t="s">
        <v>429</v>
      </c>
      <c r="C671" s="203"/>
      <c r="D671" s="203"/>
      <c r="E671" s="203"/>
      <c r="F671" s="632"/>
      <c r="G671" s="201">
        <v>0</v>
      </c>
      <c r="H671" s="94">
        <v>2</v>
      </c>
      <c r="I671" s="94">
        <v>2</v>
      </c>
      <c r="J671" s="94">
        <v>0</v>
      </c>
      <c r="K671" s="204">
        <v>2</v>
      </c>
      <c r="L671" s="94">
        <v>2</v>
      </c>
      <c r="M671" s="562"/>
      <c r="N671" s="563"/>
      <c r="O671" s="562"/>
      <c r="P671" s="565"/>
      <c r="Q671" s="562">
        <v>1</v>
      </c>
      <c r="R671" s="563">
        <f>SUM(Q671/L671)*100</f>
        <v>50</v>
      </c>
      <c r="S671" s="562">
        <v>1</v>
      </c>
      <c r="T671" s="563">
        <f>SUM(S671/L671)*100</f>
        <v>50</v>
      </c>
      <c r="U671" s="562">
        <v>1</v>
      </c>
      <c r="V671" s="562"/>
    </row>
    <row r="672" spans="1:20" ht="12.75">
      <c r="A672" s="14"/>
      <c r="B672" s="11"/>
      <c r="C672" s="12"/>
      <c r="D672" s="12"/>
      <c r="E672" s="12"/>
      <c r="F672" s="13"/>
      <c r="G672" s="52"/>
      <c r="H672" s="14"/>
      <c r="I672" s="14"/>
      <c r="J672" s="14"/>
      <c r="K672" s="14"/>
      <c r="L672" s="26"/>
      <c r="N672" s="425"/>
      <c r="P672" s="547"/>
      <c r="R672" s="547"/>
      <c r="T672" s="547"/>
    </row>
    <row r="673" spans="1:21" ht="12.75">
      <c r="A673" s="66">
        <v>633</v>
      </c>
      <c r="B673" s="199" t="s">
        <v>245</v>
      </c>
      <c r="C673" s="49"/>
      <c r="D673" s="12"/>
      <c r="E673" s="12"/>
      <c r="F673" s="13"/>
      <c r="G673" s="194">
        <f aca="true" t="shared" si="156" ref="G673:U673">SUM(G674:G685)</f>
        <v>861</v>
      </c>
      <c r="H673" s="50">
        <f t="shared" si="156"/>
        <v>1205</v>
      </c>
      <c r="I673" s="50">
        <f t="shared" si="156"/>
        <v>1275</v>
      </c>
      <c r="J673" s="50">
        <f t="shared" si="156"/>
        <v>552</v>
      </c>
      <c r="K673" s="50">
        <f t="shared" si="156"/>
        <v>1915</v>
      </c>
      <c r="L673" s="50">
        <f t="shared" si="156"/>
        <v>1643</v>
      </c>
      <c r="M673" s="197">
        <f t="shared" si="156"/>
        <v>261</v>
      </c>
      <c r="N673" s="433">
        <f>SUM(M673/L673)*100</f>
        <v>15.88557516737675</v>
      </c>
      <c r="O673" s="197">
        <f t="shared" si="156"/>
        <v>529</v>
      </c>
      <c r="P673" s="433">
        <f>SUM(O673/L673)*100</f>
        <v>32.19720024345709</v>
      </c>
      <c r="Q673" s="197">
        <f t="shared" si="156"/>
        <v>678</v>
      </c>
      <c r="R673" s="433">
        <f>SUM(Q673/L673)*100</f>
        <v>41.265976871576385</v>
      </c>
      <c r="S673" s="197">
        <f t="shared" si="156"/>
        <v>705</v>
      </c>
      <c r="T673" s="433">
        <f>SUM(S673/L673)*100</f>
        <v>42.90931223371881</v>
      </c>
      <c r="U673" s="197">
        <f t="shared" si="156"/>
        <v>916</v>
      </c>
    </row>
    <row r="674" spans="1:21" ht="12.75">
      <c r="A674" s="71">
        <v>633001</v>
      </c>
      <c r="B674" s="23" t="s">
        <v>430</v>
      </c>
      <c r="C674" s="24"/>
      <c r="D674" s="24"/>
      <c r="E674" s="24"/>
      <c r="F674" s="58"/>
      <c r="G674" s="52">
        <v>70</v>
      </c>
      <c r="H674" s="14">
        <v>60</v>
      </c>
      <c r="I674" s="14">
        <v>90</v>
      </c>
      <c r="J674" s="14">
        <v>0</v>
      </c>
      <c r="K674" s="14">
        <v>300</v>
      </c>
      <c r="L674" s="26">
        <v>300</v>
      </c>
      <c r="M674" s="31">
        <v>61</v>
      </c>
      <c r="N674" s="430">
        <f>SUM(M674/L674)*100</f>
        <v>20.333333333333332</v>
      </c>
      <c r="O674" s="31">
        <v>107</v>
      </c>
      <c r="P674" s="430">
        <f>SUM(O674/L674)*100</f>
        <v>35.66666666666667</v>
      </c>
      <c r="Q674" s="31">
        <v>107</v>
      </c>
      <c r="R674" s="430">
        <f>SUM(Q674/L674)*100</f>
        <v>35.66666666666667</v>
      </c>
      <c r="S674" s="31">
        <v>108</v>
      </c>
      <c r="T674" s="430">
        <f>SUM(S674/L674)*100</f>
        <v>36</v>
      </c>
      <c r="U674" s="31">
        <v>112</v>
      </c>
    </row>
    <row r="675" spans="1:21" ht="12.75">
      <c r="A675" s="71">
        <v>633002</v>
      </c>
      <c r="B675" s="23" t="s">
        <v>246</v>
      </c>
      <c r="C675" s="24"/>
      <c r="D675" s="24"/>
      <c r="E675" s="24"/>
      <c r="F675" s="58"/>
      <c r="G675" s="52">
        <v>55</v>
      </c>
      <c r="H675" s="14">
        <v>50</v>
      </c>
      <c r="I675" s="14">
        <v>50</v>
      </c>
      <c r="J675" s="14">
        <v>15</v>
      </c>
      <c r="K675" s="14">
        <v>155</v>
      </c>
      <c r="L675" s="26">
        <v>63</v>
      </c>
      <c r="M675" s="31">
        <v>0</v>
      </c>
      <c r="N675" s="425"/>
      <c r="O675" s="31">
        <v>59</v>
      </c>
      <c r="P675" s="430">
        <f>SUM(O675/L675)*100</f>
        <v>93.65079365079364</v>
      </c>
      <c r="Q675" s="31">
        <v>59</v>
      </c>
      <c r="R675" s="430">
        <f>SUM(Q675/L675)*100</f>
        <v>93.65079365079364</v>
      </c>
      <c r="S675" s="31">
        <v>72</v>
      </c>
      <c r="T675" s="430">
        <f>SUM(S675/L675)*100</f>
        <v>114.28571428571428</v>
      </c>
      <c r="U675" s="31">
        <v>73</v>
      </c>
    </row>
    <row r="676" spans="1:21" ht="12.75">
      <c r="A676" s="71">
        <v>633003</v>
      </c>
      <c r="B676" s="23" t="s">
        <v>247</v>
      </c>
      <c r="C676" s="24"/>
      <c r="D676" s="24"/>
      <c r="E676" s="24"/>
      <c r="F676" s="58"/>
      <c r="G676" s="52">
        <v>0</v>
      </c>
      <c r="H676" s="14">
        <v>25</v>
      </c>
      <c r="I676" s="14">
        <v>25</v>
      </c>
      <c r="J676" s="14">
        <v>0</v>
      </c>
      <c r="K676" s="14">
        <v>40</v>
      </c>
      <c r="L676" s="26">
        <v>40</v>
      </c>
      <c r="M676" s="31">
        <v>0</v>
      </c>
      <c r="N676" s="425"/>
      <c r="P676" s="547"/>
      <c r="R676" s="547"/>
      <c r="S676" s="31">
        <v>0</v>
      </c>
      <c r="T676" s="547"/>
      <c r="U676" s="31">
        <v>0</v>
      </c>
    </row>
    <row r="677" spans="1:21" ht="12.75">
      <c r="A677" s="261">
        <v>633004</v>
      </c>
      <c r="B677" s="262" t="s">
        <v>431</v>
      </c>
      <c r="C677" s="24"/>
      <c r="D677" s="24"/>
      <c r="E677" s="24"/>
      <c r="F677" s="58"/>
      <c r="G677" s="52">
        <v>47</v>
      </c>
      <c r="H677" s="14">
        <v>40</v>
      </c>
      <c r="I677" s="14">
        <v>40</v>
      </c>
      <c r="J677" s="14">
        <v>41</v>
      </c>
      <c r="K677" s="14">
        <v>83</v>
      </c>
      <c r="L677" s="26">
        <v>80</v>
      </c>
      <c r="M677" s="31">
        <v>3</v>
      </c>
      <c r="N677" s="430">
        <f>SUM(M677/L677)*100</f>
        <v>3.75</v>
      </c>
      <c r="O677" s="31">
        <v>3</v>
      </c>
      <c r="P677" s="430">
        <f aca="true" t="shared" si="157" ref="P677:P682">SUM(O677/L677)*100</f>
        <v>3.75</v>
      </c>
      <c r="Q677" s="31">
        <v>9</v>
      </c>
      <c r="R677" s="430">
        <f aca="true" t="shared" si="158" ref="R677:R682">SUM(Q677/L677)*100</f>
        <v>11.25</v>
      </c>
      <c r="S677" s="31">
        <v>14</v>
      </c>
      <c r="T677" s="430">
        <f aca="true" t="shared" si="159" ref="T677:T682">SUM(S677/L677)*100</f>
        <v>17.5</v>
      </c>
      <c r="U677" s="31">
        <v>14</v>
      </c>
    </row>
    <row r="678" spans="1:21" ht="12.75">
      <c r="A678" s="71">
        <v>633005</v>
      </c>
      <c r="B678" s="23" t="s">
        <v>432</v>
      </c>
      <c r="C678" s="24"/>
      <c r="D678" s="24"/>
      <c r="E678" s="24"/>
      <c r="F678" s="58"/>
      <c r="G678" s="52">
        <v>100</v>
      </c>
      <c r="H678" s="14">
        <v>100</v>
      </c>
      <c r="I678" s="14">
        <v>100</v>
      </c>
      <c r="J678" s="14">
        <v>65</v>
      </c>
      <c r="K678" s="14">
        <v>195</v>
      </c>
      <c r="L678" s="26">
        <v>150</v>
      </c>
      <c r="M678" s="31">
        <v>0</v>
      </c>
      <c r="N678" s="425"/>
      <c r="O678" s="31">
        <v>17</v>
      </c>
      <c r="P678" s="430">
        <f t="shared" si="157"/>
        <v>11.333333333333332</v>
      </c>
      <c r="Q678" s="31">
        <v>17</v>
      </c>
      <c r="R678" s="430">
        <f t="shared" si="158"/>
        <v>11.333333333333332</v>
      </c>
      <c r="S678" s="31">
        <v>71</v>
      </c>
      <c r="T678" s="430">
        <f t="shared" si="159"/>
        <v>47.333333333333336</v>
      </c>
      <c r="U678" s="31">
        <v>122</v>
      </c>
    </row>
    <row r="679" spans="1:21" ht="12.75">
      <c r="A679" s="71">
        <v>633006</v>
      </c>
      <c r="B679" s="23" t="s">
        <v>433</v>
      </c>
      <c r="C679" s="24"/>
      <c r="D679" s="24"/>
      <c r="E679" s="24"/>
      <c r="F679" s="58"/>
      <c r="G679" s="52">
        <v>159</v>
      </c>
      <c r="H679" s="14">
        <v>200</v>
      </c>
      <c r="I679" s="14">
        <v>210</v>
      </c>
      <c r="J679" s="14">
        <v>94</v>
      </c>
      <c r="K679" s="14">
        <v>272</v>
      </c>
      <c r="L679" s="26">
        <v>210</v>
      </c>
      <c r="M679" s="31">
        <v>99</v>
      </c>
      <c r="N679" s="430">
        <f>SUM(M679/L679)*100</f>
        <v>47.14285714285714</v>
      </c>
      <c r="O679" s="31">
        <v>141</v>
      </c>
      <c r="P679" s="430">
        <f t="shared" si="157"/>
        <v>67.14285714285714</v>
      </c>
      <c r="Q679" s="31">
        <v>170</v>
      </c>
      <c r="R679" s="430">
        <f t="shared" si="158"/>
        <v>80.95238095238095</v>
      </c>
      <c r="S679" s="31">
        <v>174</v>
      </c>
      <c r="T679" s="430">
        <f t="shared" si="159"/>
        <v>82.85714285714286</v>
      </c>
      <c r="U679" s="31">
        <v>184</v>
      </c>
    </row>
    <row r="680" spans="1:21" ht="12.75">
      <c r="A680" s="71">
        <v>633007</v>
      </c>
      <c r="B680" s="23" t="s">
        <v>434</v>
      </c>
      <c r="C680" s="24"/>
      <c r="D680" s="24"/>
      <c r="E680" s="24"/>
      <c r="F680" s="58"/>
      <c r="G680" s="52">
        <v>19</v>
      </c>
      <c r="H680" s="14">
        <v>50</v>
      </c>
      <c r="I680" s="14">
        <v>50</v>
      </c>
      <c r="J680" s="14">
        <v>40</v>
      </c>
      <c r="K680" s="14">
        <v>74</v>
      </c>
      <c r="L680" s="26">
        <v>74</v>
      </c>
      <c r="M680" s="31">
        <v>55</v>
      </c>
      <c r="N680" s="430">
        <f>SUM(M680/L680)*100</f>
        <v>74.32432432432432</v>
      </c>
      <c r="O680" s="31">
        <v>75</v>
      </c>
      <c r="P680" s="430">
        <f t="shared" si="157"/>
        <v>101.35135135135135</v>
      </c>
      <c r="Q680" s="31">
        <v>75</v>
      </c>
      <c r="R680" s="430">
        <f t="shared" si="158"/>
        <v>101.35135135135135</v>
      </c>
      <c r="S680" s="31">
        <v>21</v>
      </c>
      <c r="T680" s="430">
        <f t="shared" si="159"/>
        <v>28.37837837837838</v>
      </c>
      <c r="U680" s="31">
        <v>21</v>
      </c>
    </row>
    <row r="681" spans="1:21" ht="12.75">
      <c r="A681" s="71">
        <v>633009</v>
      </c>
      <c r="B681" s="23" t="s">
        <v>435</v>
      </c>
      <c r="C681" s="24"/>
      <c r="D681" s="24"/>
      <c r="E681" s="24"/>
      <c r="F681" s="58"/>
      <c r="G681" s="52">
        <v>11</v>
      </c>
      <c r="H681" s="14">
        <v>18</v>
      </c>
      <c r="I681" s="14">
        <v>18</v>
      </c>
      <c r="J681" s="14">
        <v>11</v>
      </c>
      <c r="K681" s="14">
        <v>26</v>
      </c>
      <c r="L681" s="26">
        <v>26</v>
      </c>
      <c r="M681" s="31">
        <v>7</v>
      </c>
      <c r="N681" s="430">
        <f>SUM(M681/L681)*100</f>
        <v>26.923076923076923</v>
      </c>
      <c r="O681" s="31">
        <v>7</v>
      </c>
      <c r="P681" s="430">
        <f t="shared" si="157"/>
        <v>26.923076923076923</v>
      </c>
      <c r="Q681" s="31">
        <v>9</v>
      </c>
      <c r="R681" s="430">
        <f t="shared" si="158"/>
        <v>34.61538461538461</v>
      </c>
      <c r="S681" s="31">
        <v>10</v>
      </c>
      <c r="T681" s="430">
        <f t="shared" si="159"/>
        <v>38.46153846153847</v>
      </c>
      <c r="U681" s="31">
        <v>13</v>
      </c>
    </row>
    <row r="682" spans="1:21" ht="12.75">
      <c r="A682" s="71">
        <v>633010</v>
      </c>
      <c r="B682" s="23" t="s">
        <v>263</v>
      </c>
      <c r="C682" s="24"/>
      <c r="D682" s="24"/>
      <c r="E682" s="24"/>
      <c r="F682" s="58"/>
      <c r="G682" s="52">
        <v>345</v>
      </c>
      <c r="H682" s="14">
        <v>600</v>
      </c>
      <c r="I682" s="14">
        <v>600</v>
      </c>
      <c r="J682" s="14">
        <v>225</v>
      </c>
      <c r="K682" s="14">
        <v>670</v>
      </c>
      <c r="L682" s="26">
        <v>600</v>
      </c>
      <c r="M682" s="31">
        <v>32</v>
      </c>
      <c r="N682" s="430">
        <f>SUM(M682/L682)*100</f>
        <v>5.333333333333334</v>
      </c>
      <c r="O682" s="31">
        <v>72</v>
      </c>
      <c r="P682" s="430">
        <f t="shared" si="157"/>
        <v>12</v>
      </c>
      <c r="Q682" s="31">
        <v>182</v>
      </c>
      <c r="R682" s="430">
        <f t="shared" si="158"/>
        <v>30.333333333333336</v>
      </c>
      <c r="S682" s="31">
        <v>184</v>
      </c>
      <c r="T682" s="430">
        <f t="shared" si="159"/>
        <v>30.666666666666664</v>
      </c>
      <c r="U682" s="31">
        <v>326</v>
      </c>
    </row>
    <row r="683" spans="1:21" ht="12.75">
      <c r="A683" s="71">
        <v>633011</v>
      </c>
      <c r="B683" s="23" t="s">
        <v>436</v>
      </c>
      <c r="C683" s="24"/>
      <c r="D683" s="24"/>
      <c r="E683" s="24"/>
      <c r="F683" s="58"/>
      <c r="G683" s="52">
        <v>0</v>
      </c>
      <c r="H683" s="14">
        <v>0</v>
      </c>
      <c r="I683" s="14">
        <v>0</v>
      </c>
      <c r="J683" s="14">
        <v>5</v>
      </c>
      <c r="K683" s="14">
        <v>0</v>
      </c>
      <c r="L683" s="26">
        <v>0</v>
      </c>
      <c r="N683" s="425"/>
      <c r="P683" s="547"/>
      <c r="R683" s="547"/>
      <c r="S683" s="31">
        <v>1</v>
      </c>
      <c r="T683" s="547"/>
      <c r="U683" s="31">
        <v>1</v>
      </c>
    </row>
    <row r="684" spans="1:21" ht="12.75">
      <c r="A684" s="71">
        <v>633013</v>
      </c>
      <c r="B684" s="23" t="s">
        <v>265</v>
      </c>
      <c r="C684" s="24"/>
      <c r="D684" s="24"/>
      <c r="E684" s="24"/>
      <c r="F684" s="58"/>
      <c r="G684" s="52">
        <v>46</v>
      </c>
      <c r="H684" s="14">
        <v>50</v>
      </c>
      <c r="I684" s="14">
        <v>80</v>
      </c>
      <c r="J684" s="14">
        <v>52</v>
      </c>
      <c r="K684" s="14">
        <v>80</v>
      </c>
      <c r="L684" s="26">
        <v>80</v>
      </c>
      <c r="M684" s="31">
        <v>2</v>
      </c>
      <c r="N684" s="430">
        <f>SUM(M684/L684)*100</f>
        <v>2.5</v>
      </c>
      <c r="O684" s="31">
        <v>45</v>
      </c>
      <c r="P684" s="430">
        <f>SUM(O684/L684)*100</f>
        <v>56.25</v>
      </c>
      <c r="Q684" s="31">
        <v>45</v>
      </c>
      <c r="R684" s="430">
        <f>SUM(Q684/L684)*100</f>
        <v>56.25</v>
      </c>
      <c r="S684" s="31">
        <v>45</v>
      </c>
      <c r="T684" s="430">
        <f>SUM(S684/L684)*100</f>
        <v>56.25</v>
      </c>
      <c r="U684" s="31">
        <v>45</v>
      </c>
    </row>
    <row r="685" spans="1:21" ht="12.75">
      <c r="A685" s="71">
        <v>633016</v>
      </c>
      <c r="B685" s="23" t="s">
        <v>437</v>
      </c>
      <c r="C685" s="24"/>
      <c r="D685" s="24"/>
      <c r="E685" s="24"/>
      <c r="F685" s="58"/>
      <c r="G685" s="52">
        <v>9</v>
      </c>
      <c r="H685" s="14">
        <v>12</v>
      </c>
      <c r="I685" s="14">
        <v>12</v>
      </c>
      <c r="J685" s="14">
        <v>4</v>
      </c>
      <c r="K685" s="14">
        <v>20</v>
      </c>
      <c r="L685" s="26">
        <f>12+8</f>
        <v>20</v>
      </c>
      <c r="M685" s="31">
        <v>2</v>
      </c>
      <c r="N685" s="430">
        <f>SUM(M685/L685)*100</f>
        <v>10</v>
      </c>
      <c r="O685" s="31">
        <v>3</v>
      </c>
      <c r="P685" s="430">
        <f>SUM(O685/L685)*100</f>
        <v>15</v>
      </c>
      <c r="Q685" s="31">
        <v>5</v>
      </c>
      <c r="R685" s="430">
        <f>SUM(Q685/L685)*100</f>
        <v>25</v>
      </c>
      <c r="S685" s="31">
        <v>5</v>
      </c>
      <c r="T685" s="430">
        <f>SUM(S685/L685)*100</f>
        <v>25</v>
      </c>
      <c r="U685" s="31">
        <v>5</v>
      </c>
    </row>
    <row r="686" spans="1:20" ht="12.75">
      <c r="A686" s="71"/>
      <c r="B686" s="23"/>
      <c r="C686" s="24"/>
      <c r="D686" s="24"/>
      <c r="E686" s="24"/>
      <c r="F686" s="58"/>
      <c r="G686" s="52"/>
      <c r="H686" s="14"/>
      <c r="I686" s="14"/>
      <c r="J686" s="14"/>
      <c r="K686" s="14"/>
      <c r="L686" s="26"/>
      <c r="N686" s="425"/>
      <c r="P686" s="547"/>
      <c r="R686" s="547"/>
      <c r="T686" s="547"/>
    </row>
    <row r="687" spans="1:21" ht="12.75">
      <c r="A687" s="66">
        <v>634</v>
      </c>
      <c r="B687" s="199" t="s">
        <v>269</v>
      </c>
      <c r="C687" s="49"/>
      <c r="D687" s="12"/>
      <c r="E687" s="12"/>
      <c r="F687" s="13"/>
      <c r="G687" s="194">
        <f aca="true" t="shared" si="160" ref="G687:U687">SUM(G689:G692)</f>
        <v>712</v>
      </c>
      <c r="H687" s="193">
        <f t="shared" si="160"/>
        <v>850</v>
      </c>
      <c r="I687" s="193">
        <f t="shared" si="160"/>
        <v>850</v>
      </c>
      <c r="J687" s="193">
        <f t="shared" si="160"/>
        <v>299</v>
      </c>
      <c r="K687" s="193">
        <f t="shared" si="160"/>
        <v>1336</v>
      </c>
      <c r="L687" s="50">
        <f t="shared" si="160"/>
        <v>1236</v>
      </c>
      <c r="M687" s="197">
        <f t="shared" si="160"/>
        <v>170</v>
      </c>
      <c r="N687" s="433">
        <f aca="true" t="shared" si="161" ref="N687:N692">SUM(M687/L687)*100</f>
        <v>13.754045307443366</v>
      </c>
      <c r="O687" s="197">
        <f t="shared" si="160"/>
        <v>253</v>
      </c>
      <c r="P687" s="433">
        <f aca="true" t="shared" si="162" ref="P687:P692">SUM(O687/L687)*100</f>
        <v>20.46925566343042</v>
      </c>
      <c r="Q687" s="197">
        <f t="shared" si="160"/>
        <v>354</v>
      </c>
      <c r="R687" s="433">
        <f aca="true" t="shared" si="163" ref="R687:R692">SUM(Q687/L687)*100</f>
        <v>28.640776699029125</v>
      </c>
      <c r="S687" s="197">
        <f t="shared" si="160"/>
        <v>392</v>
      </c>
      <c r="T687" s="433">
        <f aca="true" t="shared" si="164" ref="T687:T692">SUM(S687/L687)*100</f>
        <v>31.715210355987054</v>
      </c>
      <c r="U687" s="197">
        <f t="shared" si="160"/>
        <v>489</v>
      </c>
    </row>
    <row r="688" spans="1:21" ht="12.75">
      <c r="A688" s="71">
        <v>634001</v>
      </c>
      <c r="B688" s="23" t="s">
        <v>270</v>
      </c>
      <c r="C688" s="49"/>
      <c r="D688" s="12"/>
      <c r="E688" s="12"/>
      <c r="F688" s="13"/>
      <c r="G688" s="52"/>
      <c r="H688" s="14"/>
      <c r="I688" s="14"/>
      <c r="J688" s="14"/>
      <c r="K688" s="14"/>
      <c r="L688" s="26">
        <f>SUM(L689+L690)</f>
        <v>540</v>
      </c>
      <c r="M688" s="25">
        <f>SUM(M689+M690)</f>
        <v>96</v>
      </c>
      <c r="N688" s="430">
        <f t="shared" si="161"/>
        <v>17.77777777777778</v>
      </c>
      <c r="O688" s="25">
        <f>SUM(O689+O690)</f>
        <v>156</v>
      </c>
      <c r="P688" s="430">
        <f t="shared" si="162"/>
        <v>28.888888888888886</v>
      </c>
      <c r="Q688" s="25">
        <f>SUM(Q689+Q690)</f>
        <v>208</v>
      </c>
      <c r="R688" s="430">
        <f t="shared" si="163"/>
        <v>38.51851851851852</v>
      </c>
      <c r="S688" s="25">
        <f>SUM(S689+S690)</f>
        <v>228</v>
      </c>
      <c r="T688" s="430">
        <f t="shared" si="164"/>
        <v>42.22222222222222</v>
      </c>
      <c r="U688" s="25">
        <f>SUM(U689+U690)</f>
        <v>247</v>
      </c>
    </row>
    <row r="689" spans="1:21" ht="12.75">
      <c r="A689" s="14"/>
      <c r="B689" s="93" t="s">
        <v>271</v>
      </c>
      <c r="C689" s="55"/>
      <c r="D689" s="12"/>
      <c r="E689" s="12"/>
      <c r="F689" s="13"/>
      <c r="G689" s="52">
        <v>329</v>
      </c>
      <c r="H689" s="14">
        <v>450</v>
      </c>
      <c r="I689" s="14">
        <v>450</v>
      </c>
      <c r="J689" s="14">
        <v>175</v>
      </c>
      <c r="K689" s="14">
        <v>600</v>
      </c>
      <c r="L689" s="26">
        <v>500</v>
      </c>
      <c r="M689" s="31">
        <v>95</v>
      </c>
      <c r="N689" s="430">
        <f t="shared" si="161"/>
        <v>19</v>
      </c>
      <c r="O689" s="31">
        <v>152</v>
      </c>
      <c r="P689" s="430">
        <f t="shared" si="162"/>
        <v>30.4</v>
      </c>
      <c r="Q689" s="31">
        <v>204</v>
      </c>
      <c r="R689" s="430">
        <f t="shared" si="163"/>
        <v>40.8</v>
      </c>
      <c r="S689" s="31">
        <v>223</v>
      </c>
      <c r="T689" s="430">
        <f t="shared" si="164"/>
        <v>44.6</v>
      </c>
      <c r="U689" s="31">
        <v>242</v>
      </c>
    </row>
    <row r="690" spans="1:21" ht="12.75">
      <c r="A690" s="53"/>
      <c r="B690" s="93" t="s">
        <v>272</v>
      </c>
      <c r="C690" s="55"/>
      <c r="D690" s="12"/>
      <c r="E690" s="12"/>
      <c r="F690" s="13"/>
      <c r="G690" s="52">
        <v>28</v>
      </c>
      <c r="H690" s="14">
        <v>40</v>
      </c>
      <c r="I690" s="14">
        <v>40</v>
      </c>
      <c r="J690" s="14">
        <v>0</v>
      </c>
      <c r="K690" s="14">
        <v>40</v>
      </c>
      <c r="L690" s="26">
        <v>40</v>
      </c>
      <c r="M690" s="31">
        <v>1</v>
      </c>
      <c r="N690" s="430">
        <f t="shared" si="161"/>
        <v>2.5</v>
      </c>
      <c r="O690" s="31">
        <v>4</v>
      </c>
      <c r="P690" s="430">
        <f t="shared" si="162"/>
        <v>10</v>
      </c>
      <c r="Q690" s="31">
        <v>4</v>
      </c>
      <c r="R690" s="430">
        <f t="shared" si="163"/>
        <v>10</v>
      </c>
      <c r="S690" s="31">
        <v>5</v>
      </c>
      <c r="T690" s="430">
        <f t="shared" si="164"/>
        <v>12.5</v>
      </c>
      <c r="U690" s="31">
        <v>5</v>
      </c>
    </row>
    <row r="691" spans="1:21" ht="12.75">
      <c r="A691" s="71">
        <v>634002</v>
      </c>
      <c r="B691" s="23" t="s">
        <v>438</v>
      </c>
      <c r="C691" s="55"/>
      <c r="D691" s="12"/>
      <c r="E691" s="12"/>
      <c r="F691" s="13"/>
      <c r="G691" s="52">
        <v>96</v>
      </c>
      <c r="H691" s="14">
        <v>100</v>
      </c>
      <c r="I691" s="14">
        <v>100</v>
      </c>
      <c r="J691" s="14">
        <v>52</v>
      </c>
      <c r="K691" s="14">
        <v>356</v>
      </c>
      <c r="L691" s="26">
        <v>356</v>
      </c>
      <c r="M691" s="31">
        <v>34</v>
      </c>
      <c r="N691" s="430">
        <f t="shared" si="161"/>
        <v>9.550561797752808</v>
      </c>
      <c r="O691" s="31">
        <v>60</v>
      </c>
      <c r="P691" s="430">
        <f t="shared" si="162"/>
        <v>16.853932584269664</v>
      </c>
      <c r="Q691" s="31">
        <v>100</v>
      </c>
      <c r="R691" s="430">
        <f t="shared" si="163"/>
        <v>28.08988764044944</v>
      </c>
      <c r="S691" s="31">
        <v>108</v>
      </c>
      <c r="T691" s="430">
        <f t="shared" si="164"/>
        <v>30.337078651685395</v>
      </c>
      <c r="U691" s="31">
        <v>144</v>
      </c>
    </row>
    <row r="692" spans="1:21" ht="12.75">
      <c r="A692" s="71">
        <v>634003</v>
      </c>
      <c r="B692" s="23" t="s">
        <v>439</v>
      </c>
      <c r="C692" s="55"/>
      <c r="D692" s="12"/>
      <c r="E692" s="12"/>
      <c r="F692" s="13"/>
      <c r="G692" s="52">
        <v>259</v>
      </c>
      <c r="H692" s="14">
        <v>260</v>
      </c>
      <c r="I692" s="14">
        <v>260</v>
      </c>
      <c r="J692" s="14">
        <v>72</v>
      </c>
      <c r="K692" s="14">
        <v>340</v>
      </c>
      <c r="L692" s="26">
        <v>340</v>
      </c>
      <c r="M692" s="31">
        <v>40</v>
      </c>
      <c r="N692" s="430">
        <f t="shared" si="161"/>
        <v>11.76470588235294</v>
      </c>
      <c r="O692" s="31">
        <v>37</v>
      </c>
      <c r="P692" s="430">
        <f t="shared" si="162"/>
        <v>10.882352941176471</v>
      </c>
      <c r="Q692" s="31">
        <v>46</v>
      </c>
      <c r="R692" s="430">
        <f t="shared" si="163"/>
        <v>13.529411764705882</v>
      </c>
      <c r="S692" s="31">
        <v>56</v>
      </c>
      <c r="T692" s="430">
        <f t="shared" si="164"/>
        <v>16.470588235294116</v>
      </c>
      <c r="U692" s="31">
        <v>98</v>
      </c>
    </row>
    <row r="693" spans="1:20" ht="12.75">
      <c r="A693" s="71"/>
      <c r="B693" s="23"/>
      <c r="C693" s="24"/>
      <c r="D693" s="24"/>
      <c r="E693" s="24"/>
      <c r="F693" s="58"/>
      <c r="G693" s="52"/>
      <c r="H693" s="14"/>
      <c r="I693" s="14"/>
      <c r="J693" s="14"/>
      <c r="K693" s="14"/>
      <c r="L693" s="26"/>
      <c r="N693" s="425"/>
      <c r="P693" s="547"/>
      <c r="R693" s="547"/>
      <c r="T693" s="547"/>
    </row>
    <row r="694" spans="1:21" ht="12.75">
      <c r="A694" s="66">
        <v>635</v>
      </c>
      <c r="B694" s="199" t="s">
        <v>277</v>
      </c>
      <c r="C694" s="49"/>
      <c r="D694" s="12"/>
      <c r="E694" s="12"/>
      <c r="F694" s="13"/>
      <c r="G694" s="194">
        <f>SUM(G695:G702)</f>
        <v>45</v>
      </c>
      <c r="H694" s="50">
        <f aca="true" t="shared" si="165" ref="H694:U694">SUM(H695:H701)</f>
        <v>112</v>
      </c>
      <c r="I694" s="50">
        <f t="shared" si="165"/>
        <v>112</v>
      </c>
      <c r="J694" s="50">
        <f t="shared" si="165"/>
        <v>11</v>
      </c>
      <c r="K694" s="50">
        <f t="shared" si="165"/>
        <v>336</v>
      </c>
      <c r="L694" s="50">
        <f t="shared" si="165"/>
        <v>201</v>
      </c>
      <c r="M694" s="197">
        <f t="shared" si="165"/>
        <v>23</v>
      </c>
      <c r="N694" s="433">
        <f>SUM(M694/L694)*100</f>
        <v>11.442786069651742</v>
      </c>
      <c r="O694" s="197">
        <f t="shared" si="165"/>
        <v>33</v>
      </c>
      <c r="P694" s="433">
        <f>SUM(O694/L694)*100</f>
        <v>16.417910447761194</v>
      </c>
      <c r="Q694" s="197">
        <f t="shared" si="165"/>
        <v>39</v>
      </c>
      <c r="R694" s="433">
        <f>SUM(Q694/L694)*100</f>
        <v>19.402985074626866</v>
      </c>
      <c r="S694" s="197">
        <f t="shared" si="165"/>
        <v>39</v>
      </c>
      <c r="T694" s="433">
        <f>SUM(S694/L694)*100</f>
        <v>19.402985074626866</v>
      </c>
      <c r="U694" s="197">
        <f t="shared" si="165"/>
        <v>51</v>
      </c>
    </row>
    <row r="695" spans="1:21" ht="12.75">
      <c r="A695" s="71">
        <v>635001</v>
      </c>
      <c r="B695" s="23" t="s">
        <v>278</v>
      </c>
      <c r="C695" s="55"/>
      <c r="D695" s="12"/>
      <c r="E695" s="12"/>
      <c r="F695" s="13"/>
      <c r="G695" s="52">
        <v>6</v>
      </c>
      <c r="H695" s="14">
        <v>7</v>
      </c>
      <c r="I695" s="14">
        <v>7</v>
      </c>
      <c r="J695" s="14">
        <v>0</v>
      </c>
      <c r="K695" s="14">
        <v>10</v>
      </c>
      <c r="L695" s="26">
        <v>10</v>
      </c>
      <c r="N695" s="425"/>
      <c r="P695" s="547"/>
      <c r="R695" s="547"/>
      <c r="S695" s="31">
        <v>0</v>
      </c>
      <c r="T695" s="547"/>
      <c r="U695" s="31">
        <v>0</v>
      </c>
    </row>
    <row r="696" spans="1:21" ht="12.75">
      <c r="A696" s="71">
        <v>635002</v>
      </c>
      <c r="B696" s="23" t="s">
        <v>279</v>
      </c>
      <c r="C696" s="55"/>
      <c r="D696" s="12"/>
      <c r="E696" s="12"/>
      <c r="F696" s="13"/>
      <c r="G696" s="52">
        <v>2</v>
      </c>
      <c r="H696" s="14">
        <v>10</v>
      </c>
      <c r="I696" s="14">
        <v>10</v>
      </c>
      <c r="J696" s="14">
        <v>0</v>
      </c>
      <c r="K696" s="14">
        <v>43</v>
      </c>
      <c r="L696" s="26">
        <v>43</v>
      </c>
      <c r="N696" s="425"/>
      <c r="P696" s="547"/>
      <c r="Q696" s="31">
        <v>1</v>
      </c>
      <c r="R696" s="430">
        <f>SUM(Q696/L696)*100</f>
        <v>2.3255813953488373</v>
      </c>
      <c r="S696" s="31">
        <v>1</v>
      </c>
      <c r="T696" s="430">
        <f>SUM(S696/L696)*100</f>
        <v>2.3255813953488373</v>
      </c>
      <c r="U696" s="31">
        <v>3</v>
      </c>
    </row>
    <row r="697" spans="1:21" ht="12.75">
      <c r="A697" s="71">
        <v>635003</v>
      </c>
      <c r="B697" s="23" t="s">
        <v>281</v>
      </c>
      <c r="C697" s="55"/>
      <c r="D697" s="12"/>
      <c r="E697" s="12"/>
      <c r="F697" s="13"/>
      <c r="G697" s="52">
        <v>0</v>
      </c>
      <c r="H697" s="14">
        <v>5</v>
      </c>
      <c r="I697" s="14">
        <v>5</v>
      </c>
      <c r="J697" s="14">
        <v>0</v>
      </c>
      <c r="K697" s="14">
        <v>6</v>
      </c>
      <c r="L697" s="26">
        <v>6</v>
      </c>
      <c r="N697" s="425"/>
      <c r="O697" s="31">
        <v>1</v>
      </c>
      <c r="P697" s="430">
        <f>SUM(O697/L697)*100</f>
        <v>16.666666666666664</v>
      </c>
      <c r="Q697" s="31">
        <v>1</v>
      </c>
      <c r="R697" s="430">
        <f>SUM(Q697/L697)*100</f>
        <v>16.666666666666664</v>
      </c>
      <c r="S697" s="31">
        <v>1</v>
      </c>
      <c r="T697" s="430">
        <f>SUM(S697/L697)*100</f>
        <v>16.666666666666664</v>
      </c>
      <c r="U697" s="31">
        <v>1</v>
      </c>
    </row>
    <row r="698" spans="1:21" ht="12.75">
      <c r="A698" s="71">
        <v>635004</v>
      </c>
      <c r="B698" s="23" t="s">
        <v>440</v>
      </c>
      <c r="C698" s="55"/>
      <c r="D698" s="12"/>
      <c r="E698" s="12"/>
      <c r="F698" s="13"/>
      <c r="G698" s="52">
        <v>18</v>
      </c>
      <c r="H698" s="14">
        <v>30</v>
      </c>
      <c r="I698" s="14">
        <v>30</v>
      </c>
      <c r="J698" s="14">
        <v>11</v>
      </c>
      <c r="K698" s="14">
        <v>52</v>
      </c>
      <c r="L698" s="26">
        <v>52</v>
      </c>
      <c r="M698" s="31">
        <v>7</v>
      </c>
      <c r="N698" s="430">
        <f>SUM(M698/L698)*100</f>
        <v>13.461538461538462</v>
      </c>
      <c r="O698" s="31">
        <v>16</v>
      </c>
      <c r="P698" s="430">
        <f>SUM(O698/L698)*100</f>
        <v>30.76923076923077</v>
      </c>
      <c r="Q698" s="31">
        <v>21</v>
      </c>
      <c r="R698" s="430">
        <f>SUM(Q698/L698)*100</f>
        <v>40.38461538461539</v>
      </c>
      <c r="S698" s="31">
        <v>20</v>
      </c>
      <c r="T698" s="430">
        <f>SUM(S698/L698)*100</f>
        <v>38.46153846153847</v>
      </c>
      <c r="U698" s="31">
        <v>30</v>
      </c>
    </row>
    <row r="699" spans="1:21" ht="12.75">
      <c r="A699" s="71">
        <v>635005</v>
      </c>
      <c r="B699" s="23" t="s">
        <v>441</v>
      </c>
      <c r="C699" s="55"/>
      <c r="D699" s="12"/>
      <c r="E699" s="12"/>
      <c r="F699" s="13"/>
      <c r="G699" s="52">
        <v>19</v>
      </c>
      <c r="H699" s="14">
        <v>50</v>
      </c>
      <c r="I699" s="14">
        <v>50</v>
      </c>
      <c r="J699" s="14">
        <v>0</v>
      </c>
      <c r="K699" s="14">
        <v>65</v>
      </c>
      <c r="L699" s="26">
        <v>50</v>
      </c>
      <c r="M699" s="31">
        <v>15</v>
      </c>
      <c r="N699" s="430">
        <f>SUM(M699/L699)*100</f>
        <v>30</v>
      </c>
      <c r="O699" s="31">
        <v>15</v>
      </c>
      <c r="P699" s="430">
        <f>SUM(O699/L699)*100</f>
        <v>30</v>
      </c>
      <c r="Q699" s="31">
        <v>15</v>
      </c>
      <c r="R699" s="430">
        <f>SUM(Q699/L699)*100</f>
        <v>30</v>
      </c>
      <c r="S699" s="31">
        <v>16</v>
      </c>
      <c r="T699" s="430">
        <f>SUM(S699/L699)*100</f>
        <v>32</v>
      </c>
      <c r="U699" s="31">
        <v>16</v>
      </c>
    </row>
    <row r="700" spans="1:21" ht="12.75">
      <c r="A700" s="71">
        <v>635006</v>
      </c>
      <c r="B700" s="23" t="s">
        <v>282</v>
      </c>
      <c r="C700" s="55"/>
      <c r="D700" s="12"/>
      <c r="E700" s="12"/>
      <c r="F700" s="13"/>
      <c r="G700" s="52">
        <v>0</v>
      </c>
      <c r="H700" s="14">
        <v>0</v>
      </c>
      <c r="I700" s="14">
        <v>0</v>
      </c>
      <c r="J700" s="14">
        <v>0</v>
      </c>
      <c r="K700" s="14">
        <v>150</v>
      </c>
      <c r="L700" s="26">
        <v>30</v>
      </c>
      <c r="N700" s="425"/>
      <c r="P700" s="547"/>
      <c r="R700" s="547"/>
      <c r="S700" s="31">
        <v>0</v>
      </c>
      <c r="T700" s="547"/>
      <c r="U700" s="31">
        <v>0</v>
      </c>
    </row>
    <row r="701" spans="1:21" ht="12.75">
      <c r="A701" s="71">
        <v>635007</v>
      </c>
      <c r="B701" s="23" t="s">
        <v>442</v>
      </c>
      <c r="C701" s="55"/>
      <c r="D701" s="12"/>
      <c r="E701" s="12"/>
      <c r="F701" s="13"/>
      <c r="G701" s="52">
        <v>0</v>
      </c>
      <c r="H701" s="14">
        <v>10</v>
      </c>
      <c r="I701" s="14">
        <v>10</v>
      </c>
      <c r="J701" s="14">
        <v>0</v>
      </c>
      <c r="K701" s="14">
        <v>10</v>
      </c>
      <c r="L701" s="26">
        <v>10</v>
      </c>
      <c r="M701" s="31">
        <v>1</v>
      </c>
      <c r="N701" s="430">
        <f>SUM(M701/L701)*100</f>
        <v>10</v>
      </c>
      <c r="O701" s="31">
        <v>1</v>
      </c>
      <c r="P701" s="430">
        <f>SUM(O701/L701)*100</f>
        <v>10</v>
      </c>
      <c r="Q701" s="31">
        <v>1</v>
      </c>
      <c r="R701" s="430">
        <f>SUM(Q701/L701)*100</f>
        <v>10</v>
      </c>
      <c r="S701" s="31">
        <v>1</v>
      </c>
      <c r="T701" s="430">
        <f>SUM(S701/L701)*100</f>
        <v>10</v>
      </c>
      <c r="U701" s="31">
        <v>1</v>
      </c>
    </row>
    <row r="702" spans="1:20" ht="12.75">
      <c r="A702" s="67"/>
      <c r="B702" s="72" t="s">
        <v>443</v>
      </c>
      <c r="C702" s="70"/>
      <c r="D702" s="12"/>
      <c r="E702" s="12"/>
      <c r="F702" s="13"/>
      <c r="G702" s="52"/>
      <c r="H702" s="14"/>
      <c r="I702" s="14"/>
      <c r="J702" s="14"/>
      <c r="K702" s="14"/>
      <c r="L702" s="26"/>
      <c r="N702" s="425"/>
      <c r="P702" s="547"/>
      <c r="R702" s="547"/>
      <c r="T702" s="547"/>
    </row>
    <row r="703" spans="1:20" ht="12.75">
      <c r="A703" s="71"/>
      <c r="B703" s="23"/>
      <c r="C703" s="24"/>
      <c r="D703" s="24"/>
      <c r="E703" s="24"/>
      <c r="F703" s="58"/>
      <c r="G703" s="52"/>
      <c r="H703" s="14"/>
      <c r="I703" s="14"/>
      <c r="J703" s="14"/>
      <c r="K703" s="14"/>
      <c r="L703" s="26"/>
      <c r="N703" s="425"/>
      <c r="P703" s="547"/>
      <c r="R703" s="547"/>
      <c r="T703" s="547"/>
    </row>
    <row r="704" spans="1:21" ht="12.75">
      <c r="A704" s="66">
        <v>636</v>
      </c>
      <c r="B704" s="199" t="s">
        <v>284</v>
      </c>
      <c r="C704" s="55"/>
      <c r="D704" s="12"/>
      <c r="E704" s="12"/>
      <c r="F704" s="13"/>
      <c r="G704" s="194">
        <f>SUM(G706:G708)</f>
        <v>655</v>
      </c>
      <c r="H704" s="50">
        <f>SUM(H706:H708)</f>
        <v>1740</v>
      </c>
      <c r="I704" s="50">
        <f>SUM(I706:I708)</f>
        <v>40</v>
      </c>
      <c r="J704" s="50">
        <f>SUM(J705:J708)</f>
        <v>305</v>
      </c>
      <c r="K704" s="50">
        <f>SUM(K705:K708)</f>
        <v>80</v>
      </c>
      <c r="L704" s="50">
        <f>SUM(L705:L708)</f>
        <v>80</v>
      </c>
      <c r="M704" s="197">
        <f>SUM(M705:M708)</f>
        <v>12</v>
      </c>
      <c r="N704" s="433">
        <f>SUM(M704/L704)*100</f>
        <v>15</v>
      </c>
      <c r="O704" s="197">
        <f>SUM(O705:O708)</f>
        <v>32</v>
      </c>
      <c r="P704" s="433">
        <f>SUM(O704/L704)*100</f>
        <v>40</v>
      </c>
      <c r="Q704" s="197">
        <f>SUM(Q705:Q708)</f>
        <v>32</v>
      </c>
      <c r="R704" s="433">
        <f>SUM(Q704/L704)*100</f>
        <v>40</v>
      </c>
      <c r="S704" s="197">
        <f>SUM(S705:S708)</f>
        <v>34</v>
      </c>
      <c r="T704" s="433">
        <f>SUM(S704/L704)*100</f>
        <v>42.5</v>
      </c>
      <c r="U704" s="197">
        <f>SUM(U705:U708)</f>
        <v>34</v>
      </c>
    </row>
    <row r="705" spans="1:21" ht="12.75">
      <c r="A705" s="71">
        <v>636001</v>
      </c>
      <c r="B705" s="23" t="s">
        <v>282</v>
      </c>
      <c r="C705" s="55"/>
      <c r="D705" s="24"/>
      <c r="E705" s="24"/>
      <c r="F705" s="58"/>
      <c r="G705" s="57">
        <v>0</v>
      </c>
      <c r="H705" s="92">
        <v>0</v>
      </c>
      <c r="I705" s="92">
        <v>0</v>
      </c>
      <c r="J705" s="92">
        <v>20</v>
      </c>
      <c r="K705" s="71">
        <v>20</v>
      </c>
      <c r="L705" s="92">
        <v>20</v>
      </c>
      <c r="M705" s="389"/>
      <c r="N705" s="430"/>
      <c r="O705" s="389">
        <v>20</v>
      </c>
      <c r="P705" s="430">
        <f>SUM(O705/L705)*100</f>
        <v>100</v>
      </c>
      <c r="Q705" s="389">
        <v>20</v>
      </c>
      <c r="R705" s="430">
        <f>SUM(Q705/L705)*100</f>
        <v>100</v>
      </c>
      <c r="S705" s="31">
        <v>20</v>
      </c>
      <c r="T705" s="430">
        <f>SUM(S705/L705)*100</f>
        <v>100</v>
      </c>
      <c r="U705" s="31">
        <v>20</v>
      </c>
    </row>
    <row r="706" spans="1:21" ht="12.75">
      <c r="A706" s="71">
        <v>636002</v>
      </c>
      <c r="B706" s="23" t="s">
        <v>444</v>
      </c>
      <c r="C706" s="55"/>
      <c r="D706" s="24"/>
      <c r="E706" s="24"/>
      <c r="F706" s="58"/>
      <c r="G706" s="52">
        <v>9</v>
      </c>
      <c r="H706" s="71">
        <v>30</v>
      </c>
      <c r="I706" s="14">
        <v>40</v>
      </c>
      <c r="J706" s="14">
        <v>4</v>
      </c>
      <c r="K706" s="14">
        <v>60</v>
      </c>
      <c r="L706" s="26">
        <v>60</v>
      </c>
      <c r="M706" s="31">
        <v>12</v>
      </c>
      <c r="N706" s="430">
        <f>SUM(M706/L706)*100</f>
        <v>20</v>
      </c>
      <c r="O706" s="31">
        <v>12</v>
      </c>
      <c r="P706" s="430">
        <f>SUM(O706/L706)*100</f>
        <v>20</v>
      </c>
      <c r="Q706" s="31">
        <v>12</v>
      </c>
      <c r="R706" s="430">
        <f>SUM(Q706/L706)*100</f>
        <v>20</v>
      </c>
      <c r="S706" s="31">
        <v>14</v>
      </c>
      <c r="T706" s="430">
        <f>SUM(S706/L706)*100</f>
        <v>23.333333333333332</v>
      </c>
      <c r="U706" s="31">
        <v>14</v>
      </c>
    </row>
    <row r="707" spans="1:20" ht="12.75">
      <c r="A707" s="71">
        <v>636003</v>
      </c>
      <c r="B707" s="23" t="s">
        <v>445</v>
      </c>
      <c r="C707" s="55"/>
      <c r="D707" s="24"/>
      <c r="E707" s="24"/>
      <c r="F707" s="58"/>
      <c r="G707" s="52">
        <v>53</v>
      </c>
      <c r="H707" s="71">
        <v>660</v>
      </c>
      <c r="I707" s="14">
        <v>0</v>
      </c>
      <c r="J707" s="14">
        <v>0</v>
      </c>
      <c r="K707" s="14">
        <v>0</v>
      </c>
      <c r="L707" s="26">
        <v>0</v>
      </c>
      <c r="N707" s="425"/>
      <c r="P707" s="547"/>
      <c r="R707" s="547"/>
      <c r="S707" s="31">
        <v>0</v>
      </c>
      <c r="T707" s="547"/>
    </row>
    <row r="708" spans="1:20" ht="13.5" thickBot="1">
      <c r="A708" s="263">
        <v>636004</v>
      </c>
      <c r="B708" s="248" t="s">
        <v>446</v>
      </c>
      <c r="C708" s="213"/>
      <c r="D708" s="19"/>
      <c r="E708" s="19"/>
      <c r="F708" s="20"/>
      <c r="G708" s="99">
        <v>593</v>
      </c>
      <c r="H708" s="27">
        <v>1050</v>
      </c>
      <c r="I708" s="27">
        <v>0</v>
      </c>
      <c r="J708" s="27">
        <v>281</v>
      </c>
      <c r="K708" s="21">
        <v>0</v>
      </c>
      <c r="L708" s="27">
        <v>0</v>
      </c>
      <c r="M708" s="411"/>
      <c r="N708" s="429"/>
      <c r="O708" s="411"/>
      <c r="P708" s="548"/>
      <c r="Q708" s="411"/>
      <c r="R708" s="548"/>
      <c r="S708" s="411">
        <v>0</v>
      </c>
      <c r="T708" s="548"/>
    </row>
    <row r="709" spans="1:12" ht="12.75">
      <c r="A709" s="24"/>
      <c r="B709" s="24"/>
      <c r="C709" s="55"/>
      <c r="D709" s="12"/>
      <c r="E709" s="12"/>
      <c r="F709" s="12"/>
      <c r="G709" s="52"/>
      <c r="H709" s="52"/>
      <c r="I709" s="52"/>
      <c r="J709" s="52"/>
      <c r="K709" s="12"/>
      <c r="L709" s="52"/>
    </row>
    <row r="710" spans="1:8" ht="13.5" thickBot="1">
      <c r="A710" s="24"/>
      <c r="B710" s="24"/>
      <c r="C710" s="24"/>
      <c r="D710" s="24"/>
      <c r="E710" s="24"/>
      <c r="F710" s="24"/>
      <c r="G710" s="31"/>
      <c r="H710" s="12"/>
    </row>
    <row r="711" spans="1:22" ht="13.5" thickBot="1">
      <c r="A711" s="177" t="s">
        <v>44</v>
      </c>
      <c r="B711" s="178"/>
      <c r="C711" s="178"/>
      <c r="D711" s="179"/>
      <c r="E711" s="179"/>
      <c r="F711" s="179"/>
      <c r="G711" s="215" t="s">
        <v>23</v>
      </c>
      <c r="H711" s="136"/>
      <c r="I711" s="137" t="s">
        <v>395</v>
      </c>
      <c r="J711" s="216"/>
      <c r="K711" s="10" t="s">
        <v>25</v>
      </c>
      <c r="L711" s="238" t="s">
        <v>645</v>
      </c>
      <c r="M711" s="403" t="s">
        <v>296</v>
      </c>
      <c r="N711" s="426" t="s">
        <v>684</v>
      </c>
      <c r="O711" s="403" t="s">
        <v>296</v>
      </c>
      <c r="P711" s="426" t="s">
        <v>683</v>
      </c>
      <c r="Q711" s="415" t="s">
        <v>296</v>
      </c>
      <c r="R711" s="426" t="s">
        <v>681</v>
      </c>
      <c r="S711" s="403" t="s">
        <v>296</v>
      </c>
      <c r="T711" s="421" t="s">
        <v>681</v>
      </c>
      <c r="U711" s="403" t="s">
        <v>296</v>
      </c>
      <c r="V711" s="30" t="s">
        <v>681</v>
      </c>
    </row>
    <row r="712" spans="1:22" ht="16.5" thickTop="1">
      <c r="A712" s="239" t="s">
        <v>169</v>
      </c>
      <c r="B712" s="181" t="s">
        <v>422</v>
      </c>
      <c r="C712" s="259"/>
      <c r="D712" s="12"/>
      <c r="E712" s="12"/>
      <c r="F712" s="12"/>
      <c r="G712" s="25" t="s">
        <v>45</v>
      </c>
      <c r="H712" s="32" t="s">
        <v>27</v>
      </c>
      <c r="I712" s="6" t="s">
        <v>92</v>
      </c>
      <c r="J712" s="108" t="s">
        <v>29</v>
      </c>
      <c r="K712" s="33" t="s">
        <v>46</v>
      </c>
      <c r="L712" s="208"/>
      <c r="M712" s="25" t="s">
        <v>297</v>
      </c>
      <c r="N712" s="425"/>
      <c r="O712" s="25" t="s">
        <v>750</v>
      </c>
      <c r="P712" s="547"/>
      <c r="Q712" s="416" t="s">
        <v>896</v>
      </c>
      <c r="R712" s="547"/>
      <c r="S712" s="25" t="s">
        <v>957</v>
      </c>
      <c r="T712" s="422"/>
      <c r="U712" s="25" t="s">
        <v>252</v>
      </c>
      <c r="V712" s="26"/>
    </row>
    <row r="713" spans="1:22" ht="13.5" thickBot="1">
      <c r="A713" s="183"/>
      <c r="B713" s="184"/>
      <c r="C713" s="185"/>
      <c r="D713" s="37"/>
      <c r="E713" s="37"/>
      <c r="F713" s="37"/>
      <c r="G713" s="218"/>
      <c r="H713" s="84">
        <v>38335</v>
      </c>
      <c r="I713" s="148">
        <v>38587</v>
      </c>
      <c r="J713" s="110" t="s">
        <v>31</v>
      </c>
      <c r="K713" s="33" t="s">
        <v>32</v>
      </c>
      <c r="L713" s="242"/>
      <c r="M713" s="404"/>
      <c r="N713" s="429"/>
      <c r="O713" s="404"/>
      <c r="P713" s="548"/>
      <c r="Q713" s="411"/>
      <c r="R713" s="548"/>
      <c r="S713" s="404"/>
      <c r="T713" s="423"/>
      <c r="U713" s="404"/>
      <c r="V713" s="27"/>
    </row>
    <row r="714" spans="1:20" ht="13.5" thickBot="1">
      <c r="A714" s="186" t="s">
        <v>47</v>
      </c>
      <c r="B714" s="187"/>
      <c r="C714" s="39"/>
      <c r="D714" s="188" t="s">
        <v>48</v>
      </c>
      <c r="E714" s="19"/>
      <c r="F714" s="19"/>
      <c r="G714" s="219">
        <v>1</v>
      </c>
      <c r="H714" s="41">
        <v>2</v>
      </c>
      <c r="I714" s="188">
        <v>3</v>
      </c>
      <c r="J714" s="22">
        <v>4</v>
      </c>
      <c r="K714" s="40">
        <v>1</v>
      </c>
      <c r="L714" s="599">
        <v>1</v>
      </c>
      <c r="M714" s="409"/>
      <c r="N714" s="424"/>
      <c r="P714" s="547"/>
      <c r="R714" s="556"/>
      <c r="T714" s="556"/>
    </row>
    <row r="715" spans="1:20" ht="12.75">
      <c r="A715" s="264"/>
      <c r="B715" s="265"/>
      <c r="C715" s="265"/>
      <c r="D715" s="266"/>
      <c r="E715" s="4"/>
      <c r="F715" s="4"/>
      <c r="G715" s="238"/>
      <c r="H715" s="264"/>
      <c r="I715" s="16"/>
      <c r="J715" s="16"/>
      <c r="K715" s="6"/>
      <c r="L715" s="30"/>
      <c r="N715" s="425"/>
      <c r="O715" s="403"/>
      <c r="P715" s="556"/>
      <c r="Q715" s="403"/>
      <c r="R715" s="556"/>
      <c r="S715" s="403"/>
      <c r="T715" s="556"/>
    </row>
    <row r="716" spans="1:21" ht="12.75">
      <c r="A716" s="66">
        <v>637</v>
      </c>
      <c r="B716" s="49" t="s">
        <v>288</v>
      </c>
      <c r="C716" s="49"/>
      <c r="D716" s="12"/>
      <c r="E716" s="12"/>
      <c r="F716" s="12"/>
      <c r="G716" s="193">
        <f>SUM(G717:G727)</f>
        <v>1080</v>
      </c>
      <c r="H716" s="193">
        <f>SUM(H717:H727)</f>
        <v>1335</v>
      </c>
      <c r="I716" s="193">
        <f>SUM(I717:I727)</f>
        <v>1378</v>
      </c>
      <c r="J716" s="193">
        <f>SUM(J717:J727)</f>
        <v>662</v>
      </c>
      <c r="K716" s="193">
        <f>SUM(K717:K727)</f>
        <v>1384</v>
      </c>
      <c r="L716" s="50">
        <f>SUM(L717+L718+L719+L720+L723+L724+L725+L726+L727)</f>
        <v>1694</v>
      </c>
      <c r="M716" s="50">
        <f>SUM(M717+M718+M719+M720+M723+M724+M725+M726+M727)</f>
        <v>184</v>
      </c>
      <c r="N716" s="433">
        <f>SUM(M716/L716)*100</f>
        <v>10.861865407319952</v>
      </c>
      <c r="O716" s="197">
        <f>SUM(O717+O718+O719+O720+O723+O724+O725+O726+O727+O728)</f>
        <v>372</v>
      </c>
      <c r="P716" s="433">
        <f>SUM(O716/L716)*100</f>
        <v>21.95985832349469</v>
      </c>
      <c r="Q716" s="197">
        <f>SUM(Q717+Q718+Q719+Q720+Q723+Q724+Q725+Q726+Q727+Q728)</f>
        <v>456</v>
      </c>
      <c r="R716" s="433">
        <f aca="true" t="shared" si="166" ref="R716:R727">SUM(Q716/L716)*100</f>
        <v>26.9185360094451</v>
      </c>
      <c r="S716" s="197">
        <f>SUM(S717+S718+S719+S720+S723+S724+S725+S726+S727+S728)</f>
        <v>561</v>
      </c>
      <c r="T716" s="433">
        <f aca="true" t="shared" si="167" ref="T716:T727">SUM(S716/L716)*100</f>
        <v>33.116883116883116</v>
      </c>
      <c r="U716" s="197">
        <f>SUM(U717+U718+U719+U720+U723+U724+U725+U726+U727+U728)</f>
        <v>606</v>
      </c>
    </row>
    <row r="717" spans="1:21" ht="12.75">
      <c r="A717" s="71">
        <v>637001</v>
      </c>
      <c r="B717" s="24" t="s">
        <v>447</v>
      </c>
      <c r="C717" s="55"/>
      <c r="D717" s="12"/>
      <c r="E717" s="12"/>
      <c r="F717" s="12"/>
      <c r="G717" s="26">
        <v>100</v>
      </c>
      <c r="H717" s="14">
        <v>120</v>
      </c>
      <c r="I717" s="14">
        <v>120</v>
      </c>
      <c r="J717" s="14">
        <v>110</v>
      </c>
      <c r="K717" s="14">
        <v>181</v>
      </c>
      <c r="L717" s="26">
        <v>181</v>
      </c>
      <c r="M717" s="31">
        <v>42</v>
      </c>
      <c r="N717" s="430">
        <f>SUM(M717/L717)*100</f>
        <v>23.204419889502763</v>
      </c>
      <c r="O717" s="31">
        <v>42</v>
      </c>
      <c r="P717" s="430">
        <f>SUM(O717/L717)*100</f>
        <v>23.204419889502763</v>
      </c>
      <c r="Q717" s="31">
        <v>55</v>
      </c>
      <c r="R717" s="430">
        <f t="shared" si="166"/>
        <v>30.386740331491712</v>
      </c>
      <c r="S717" s="31">
        <v>57</v>
      </c>
      <c r="T717" s="430">
        <f t="shared" si="167"/>
        <v>31.491712707182316</v>
      </c>
      <c r="U717" s="31">
        <v>57</v>
      </c>
    </row>
    <row r="718" spans="1:21" ht="12.75">
      <c r="A718" s="71">
        <v>637002</v>
      </c>
      <c r="B718" s="24" t="s">
        <v>448</v>
      </c>
      <c r="C718" s="55"/>
      <c r="D718" s="12"/>
      <c r="E718" s="12"/>
      <c r="F718" s="12"/>
      <c r="G718" s="26">
        <v>30</v>
      </c>
      <c r="H718" s="14">
        <v>30</v>
      </c>
      <c r="I718" s="14">
        <v>30</v>
      </c>
      <c r="J718" s="14">
        <v>0</v>
      </c>
      <c r="K718" s="14">
        <v>20</v>
      </c>
      <c r="L718" s="26">
        <v>20</v>
      </c>
      <c r="N718" s="425"/>
      <c r="P718" s="547"/>
      <c r="Q718" s="31">
        <v>1</v>
      </c>
      <c r="R718" s="430">
        <f t="shared" si="166"/>
        <v>5</v>
      </c>
      <c r="S718" s="31">
        <v>1</v>
      </c>
      <c r="T718" s="430">
        <f t="shared" si="167"/>
        <v>5</v>
      </c>
      <c r="U718" s="31">
        <v>1</v>
      </c>
    </row>
    <row r="719" spans="1:21" ht="12.75">
      <c r="A719" s="71">
        <v>637004</v>
      </c>
      <c r="B719" s="24" t="s">
        <v>291</v>
      </c>
      <c r="C719" s="55"/>
      <c r="D719" s="12"/>
      <c r="E719" s="12"/>
      <c r="F719" s="12"/>
      <c r="G719" s="26">
        <v>29</v>
      </c>
      <c r="H719" s="14">
        <v>40</v>
      </c>
      <c r="I719" s="14">
        <v>40</v>
      </c>
      <c r="J719" s="14">
        <v>41</v>
      </c>
      <c r="K719" s="14">
        <v>72</v>
      </c>
      <c r="L719" s="26">
        <v>72</v>
      </c>
      <c r="M719" s="31">
        <v>31</v>
      </c>
      <c r="N719" s="430">
        <f aca="true" t="shared" si="168" ref="N719:N724">SUM(M719/L719)*100</f>
        <v>43.05555555555556</v>
      </c>
      <c r="O719" s="31">
        <v>32</v>
      </c>
      <c r="P719" s="430">
        <f aca="true" t="shared" si="169" ref="P719:P727">SUM(O719/L719)*100</f>
        <v>44.44444444444444</v>
      </c>
      <c r="Q719" s="31">
        <v>37</v>
      </c>
      <c r="R719" s="430">
        <f t="shared" si="166"/>
        <v>51.388888888888886</v>
      </c>
      <c r="S719" s="31">
        <v>25</v>
      </c>
      <c r="T719" s="430">
        <f t="shared" si="167"/>
        <v>34.72222222222222</v>
      </c>
      <c r="U719" s="31">
        <v>26</v>
      </c>
    </row>
    <row r="720" spans="1:21" ht="12.75">
      <c r="A720" s="71">
        <v>637005</v>
      </c>
      <c r="B720" s="24" t="s">
        <v>485</v>
      </c>
      <c r="C720" s="55"/>
      <c r="D720" s="12"/>
      <c r="E720" s="12"/>
      <c r="F720" s="12"/>
      <c r="G720" s="26">
        <v>37</v>
      </c>
      <c r="H720" s="14">
        <v>95</v>
      </c>
      <c r="I720" s="14">
        <v>111</v>
      </c>
      <c r="J720" s="14">
        <v>27</v>
      </c>
      <c r="K720" s="14">
        <v>153</v>
      </c>
      <c r="L720" s="26">
        <f>SUM(L721+L722)</f>
        <v>600</v>
      </c>
      <c r="M720" s="25">
        <f>SUM(M721+M722)</f>
        <v>44</v>
      </c>
      <c r="N720" s="430">
        <f t="shared" si="168"/>
        <v>7.333333333333333</v>
      </c>
      <c r="O720" s="25">
        <f>SUM(O721+O722)</f>
        <v>69</v>
      </c>
      <c r="P720" s="430">
        <f t="shared" si="169"/>
        <v>11.5</v>
      </c>
      <c r="Q720" s="25">
        <f>SUM(Q721+Q722)</f>
        <v>76</v>
      </c>
      <c r="R720" s="430">
        <f t="shared" si="166"/>
        <v>12.666666666666668</v>
      </c>
      <c r="S720" s="25">
        <f>SUM(S721+S722)</f>
        <v>179</v>
      </c>
      <c r="T720" s="430">
        <f t="shared" si="167"/>
        <v>29.833333333333336</v>
      </c>
      <c r="U720" s="25">
        <f>SUM(U721+U722)</f>
        <v>204</v>
      </c>
    </row>
    <row r="721" spans="1:22" s="627" customFormat="1" ht="12">
      <c r="A721" s="204"/>
      <c r="B721" s="203" t="s">
        <v>392</v>
      </c>
      <c r="C721" s="203"/>
      <c r="D721" s="203"/>
      <c r="E721" s="203"/>
      <c r="F721" s="203"/>
      <c r="G721" s="94"/>
      <c r="H721" s="204"/>
      <c r="I721" s="204"/>
      <c r="J721" s="204"/>
      <c r="K721" s="204"/>
      <c r="L721" s="94">
        <v>447</v>
      </c>
      <c r="M721" s="562">
        <v>15</v>
      </c>
      <c r="N721" s="563">
        <f t="shared" si="168"/>
        <v>3.3557046979865772</v>
      </c>
      <c r="O721" s="562">
        <v>32</v>
      </c>
      <c r="P721" s="563">
        <f t="shared" si="169"/>
        <v>7.158836689038031</v>
      </c>
      <c r="Q721" s="562">
        <v>32</v>
      </c>
      <c r="R721" s="563">
        <f t="shared" si="166"/>
        <v>7.158836689038031</v>
      </c>
      <c r="S721" s="562">
        <v>32</v>
      </c>
      <c r="T721" s="563">
        <f t="shared" si="167"/>
        <v>7.158836689038031</v>
      </c>
      <c r="U721" s="562">
        <v>44</v>
      </c>
      <c r="V721" s="562"/>
    </row>
    <row r="722" spans="1:22" s="627" customFormat="1" ht="12">
      <c r="A722" s="204"/>
      <c r="B722" s="203" t="s">
        <v>393</v>
      </c>
      <c r="C722" s="203"/>
      <c r="D722" s="203"/>
      <c r="E722" s="203"/>
      <c r="F722" s="203"/>
      <c r="G722" s="94">
        <v>240</v>
      </c>
      <c r="H722" s="204">
        <v>380</v>
      </c>
      <c r="I722" s="204">
        <v>380</v>
      </c>
      <c r="J722" s="204">
        <v>106</v>
      </c>
      <c r="K722" s="204">
        <v>175</v>
      </c>
      <c r="L722" s="94">
        <v>153</v>
      </c>
      <c r="M722" s="562">
        <v>29</v>
      </c>
      <c r="N722" s="563">
        <f t="shared" si="168"/>
        <v>18.954248366013072</v>
      </c>
      <c r="O722" s="562">
        <v>37</v>
      </c>
      <c r="P722" s="563">
        <f t="shared" si="169"/>
        <v>24.18300653594771</v>
      </c>
      <c r="Q722" s="562">
        <v>44</v>
      </c>
      <c r="R722" s="563">
        <f t="shared" si="166"/>
        <v>28.75816993464052</v>
      </c>
      <c r="S722" s="562">
        <v>147</v>
      </c>
      <c r="T722" s="563">
        <f t="shared" si="167"/>
        <v>96.07843137254902</v>
      </c>
      <c r="U722" s="562">
        <v>160</v>
      </c>
      <c r="V722" s="562"/>
    </row>
    <row r="723" spans="1:21" ht="12.75">
      <c r="A723" s="71">
        <v>637011</v>
      </c>
      <c r="B723" s="24" t="s">
        <v>450</v>
      </c>
      <c r="C723" s="55"/>
      <c r="D723" s="12"/>
      <c r="E723" s="12"/>
      <c r="F723" s="12"/>
      <c r="G723" s="26">
        <v>15</v>
      </c>
      <c r="H723" s="14">
        <v>20</v>
      </c>
      <c r="I723" s="14">
        <v>20</v>
      </c>
      <c r="J723" s="14">
        <v>15</v>
      </c>
      <c r="K723" s="14">
        <v>28</v>
      </c>
      <c r="L723" s="26">
        <v>28</v>
      </c>
      <c r="M723" s="31">
        <v>4</v>
      </c>
      <c r="N723" s="430">
        <f t="shared" si="168"/>
        <v>14.285714285714285</v>
      </c>
      <c r="O723" s="31">
        <v>5</v>
      </c>
      <c r="P723" s="430">
        <f t="shared" si="169"/>
        <v>17.857142857142858</v>
      </c>
      <c r="Q723" s="31">
        <v>11</v>
      </c>
      <c r="R723" s="430">
        <f t="shared" si="166"/>
        <v>39.285714285714285</v>
      </c>
      <c r="S723" s="31">
        <v>11</v>
      </c>
      <c r="T723" s="430">
        <f t="shared" si="167"/>
        <v>39.285714285714285</v>
      </c>
      <c r="U723" s="31">
        <v>11</v>
      </c>
    </row>
    <row r="724" spans="1:21" ht="12.75">
      <c r="A724" s="71">
        <v>637012</v>
      </c>
      <c r="B724" s="24" t="s">
        <v>451</v>
      </c>
      <c r="C724" s="55"/>
      <c r="D724" s="12"/>
      <c r="E724" s="12"/>
      <c r="F724" s="12"/>
      <c r="G724" s="26">
        <v>5</v>
      </c>
      <c r="H724" s="14">
        <v>20</v>
      </c>
      <c r="I724" s="14">
        <v>17</v>
      </c>
      <c r="J724" s="14">
        <v>3</v>
      </c>
      <c r="K724" s="14">
        <v>21</v>
      </c>
      <c r="L724" s="26">
        <v>21</v>
      </c>
      <c r="M724" s="31">
        <v>1</v>
      </c>
      <c r="N724" s="430">
        <f t="shared" si="168"/>
        <v>4.761904761904762</v>
      </c>
      <c r="O724" s="31">
        <v>1</v>
      </c>
      <c r="P724" s="430">
        <f t="shared" si="169"/>
        <v>4.761904761904762</v>
      </c>
      <c r="Q724" s="31">
        <v>3</v>
      </c>
      <c r="R724" s="430">
        <f t="shared" si="166"/>
        <v>14.285714285714285</v>
      </c>
      <c r="S724" s="31">
        <v>4</v>
      </c>
      <c r="T724" s="430">
        <f t="shared" si="167"/>
        <v>19.047619047619047</v>
      </c>
      <c r="U724" s="31">
        <v>5</v>
      </c>
    </row>
    <row r="725" spans="1:21" ht="12.75">
      <c r="A725" s="261">
        <v>637014</v>
      </c>
      <c r="B725" s="158" t="s">
        <v>373</v>
      </c>
      <c r="C725" s="12"/>
      <c r="D725" s="12"/>
      <c r="E725" s="12"/>
      <c r="F725" s="12"/>
      <c r="G725" s="26">
        <v>409</v>
      </c>
      <c r="H725" s="14">
        <v>400</v>
      </c>
      <c r="I725" s="14">
        <v>400</v>
      </c>
      <c r="J725" s="14">
        <v>236</v>
      </c>
      <c r="K725" s="14">
        <v>400</v>
      </c>
      <c r="L725" s="26">
        <v>438</v>
      </c>
      <c r="N725" s="425"/>
      <c r="O725" s="31">
        <v>137</v>
      </c>
      <c r="P725" s="430">
        <f t="shared" si="169"/>
        <v>31.27853881278539</v>
      </c>
      <c r="Q725" s="31">
        <v>137</v>
      </c>
      <c r="R725" s="430">
        <f t="shared" si="166"/>
        <v>31.27853881278539</v>
      </c>
      <c r="S725" s="31">
        <v>137</v>
      </c>
      <c r="T725" s="430">
        <f t="shared" si="167"/>
        <v>31.27853881278539</v>
      </c>
      <c r="U725" s="31">
        <v>137</v>
      </c>
    </row>
    <row r="726" spans="1:21" ht="12.75">
      <c r="A726" s="71">
        <v>637015</v>
      </c>
      <c r="B726" s="24" t="s">
        <v>374</v>
      </c>
      <c r="C726" s="55"/>
      <c r="D726" s="12"/>
      <c r="E726" s="12"/>
      <c r="F726" s="12"/>
      <c r="G726" s="26">
        <v>114</v>
      </c>
      <c r="H726" s="14">
        <v>100</v>
      </c>
      <c r="I726" s="14">
        <v>130</v>
      </c>
      <c r="J726" s="14">
        <v>74</v>
      </c>
      <c r="K726" s="14">
        <v>204</v>
      </c>
      <c r="L726" s="26">
        <v>204</v>
      </c>
      <c r="M726" s="31">
        <v>40</v>
      </c>
      <c r="N726" s="430">
        <f>SUM(M726/L726)*100</f>
        <v>19.607843137254903</v>
      </c>
      <c r="O726" s="31">
        <v>45</v>
      </c>
      <c r="P726" s="430">
        <f t="shared" si="169"/>
        <v>22.058823529411764</v>
      </c>
      <c r="Q726" s="31">
        <v>69</v>
      </c>
      <c r="R726" s="430">
        <f t="shared" si="166"/>
        <v>33.82352941176471</v>
      </c>
      <c r="S726" s="31">
        <v>81</v>
      </c>
      <c r="T726" s="430">
        <f t="shared" si="167"/>
        <v>39.705882352941174</v>
      </c>
      <c r="U726" s="31">
        <v>82</v>
      </c>
    </row>
    <row r="727" spans="1:21" ht="12.75">
      <c r="A727" s="71">
        <v>637016</v>
      </c>
      <c r="B727" s="24" t="s">
        <v>375</v>
      </c>
      <c r="C727" s="55"/>
      <c r="D727" s="12"/>
      <c r="E727" s="12"/>
      <c r="F727" s="12"/>
      <c r="G727" s="26">
        <v>101</v>
      </c>
      <c r="H727" s="14">
        <v>130</v>
      </c>
      <c r="I727" s="14">
        <v>130</v>
      </c>
      <c r="J727" s="14">
        <v>50</v>
      </c>
      <c r="K727" s="14">
        <v>130</v>
      </c>
      <c r="L727" s="26">
        <v>130</v>
      </c>
      <c r="M727" s="31">
        <v>22</v>
      </c>
      <c r="N727" s="430">
        <f>SUM(M727/L727)*100</f>
        <v>16.923076923076923</v>
      </c>
      <c r="O727" s="31">
        <v>35</v>
      </c>
      <c r="P727" s="430">
        <f t="shared" si="169"/>
        <v>26.923076923076923</v>
      </c>
      <c r="Q727" s="31">
        <v>58</v>
      </c>
      <c r="R727" s="430">
        <f t="shared" si="166"/>
        <v>44.61538461538462</v>
      </c>
      <c r="S727" s="31">
        <v>57</v>
      </c>
      <c r="T727" s="430">
        <f t="shared" si="167"/>
        <v>43.84615384615385</v>
      </c>
      <c r="U727" s="31">
        <v>72</v>
      </c>
    </row>
    <row r="728" spans="1:21" ht="12.75">
      <c r="A728" s="14">
        <v>637027</v>
      </c>
      <c r="B728" s="12" t="s">
        <v>751</v>
      </c>
      <c r="C728" s="12"/>
      <c r="D728" s="12"/>
      <c r="E728" s="12"/>
      <c r="F728" s="12"/>
      <c r="G728" s="26"/>
      <c r="H728" s="14"/>
      <c r="I728" s="14"/>
      <c r="J728" s="14"/>
      <c r="K728" s="14"/>
      <c r="L728" s="26">
        <v>0</v>
      </c>
      <c r="N728" s="425"/>
      <c r="O728" s="31">
        <v>6</v>
      </c>
      <c r="P728" s="547"/>
      <c r="Q728" s="31">
        <v>9</v>
      </c>
      <c r="R728" s="547"/>
      <c r="S728" s="31">
        <v>9</v>
      </c>
      <c r="T728" s="547"/>
      <c r="U728" s="31">
        <v>11</v>
      </c>
    </row>
    <row r="729" spans="1:20" ht="12.75">
      <c r="A729" s="14"/>
      <c r="B729" s="12"/>
      <c r="C729" s="12"/>
      <c r="D729" s="12"/>
      <c r="E729" s="12"/>
      <c r="F729" s="12"/>
      <c r="G729" s="26"/>
      <c r="H729" s="14"/>
      <c r="I729" s="14"/>
      <c r="J729" s="14"/>
      <c r="K729" s="14"/>
      <c r="L729" s="26"/>
      <c r="N729" s="425"/>
      <c r="P729" s="547"/>
      <c r="R729" s="547"/>
      <c r="T729" s="547"/>
    </row>
    <row r="730" spans="1:21" ht="12.75">
      <c r="A730" s="66">
        <v>642</v>
      </c>
      <c r="B730" s="49" t="s">
        <v>452</v>
      </c>
      <c r="C730" s="49"/>
      <c r="D730" s="12"/>
      <c r="E730" s="12"/>
      <c r="F730" s="12"/>
      <c r="G730" s="193">
        <f aca="true" t="shared" si="170" ref="G730:U730">SUM(G731:G734)</f>
        <v>59</v>
      </c>
      <c r="H730" s="193">
        <f t="shared" si="170"/>
        <v>60</v>
      </c>
      <c r="I730" s="193">
        <f t="shared" si="170"/>
        <v>63</v>
      </c>
      <c r="J730" s="193">
        <f t="shared" si="170"/>
        <v>28</v>
      </c>
      <c r="K730" s="193">
        <f t="shared" si="170"/>
        <v>214</v>
      </c>
      <c r="L730" s="50">
        <f t="shared" si="170"/>
        <v>244</v>
      </c>
      <c r="M730" s="197">
        <f t="shared" si="170"/>
        <v>12</v>
      </c>
      <c r="N730" s="433">
        <f>SUM(M730/L730)*100</f>
        <v>4.918032786885246</v>
      </c>
      <c r="O730" s="197">
        <f t="shared" si="170"/>
        <v>25</v>
      </c>
      <c r="P730" s="433">
        <f>SUM(O730/L730)*100</f>
        <v>10.245901639344263</v>
      </c>
      <c r="Q730" s="197">
        <f t="shared" si="170"/>
        <v>35</v>
      </c>
      <c r="R730" s="433">
        <f>SUM(Q730/L730)*100</f>
        <v>14.344262295081966</v>
      </c>
      <c r="S730" s="197">
        <f t="shared" si="170"/>
        <v>35</v>
      </c>
      <c r="T730" s="433">
        <f>SUM(S730/L730)*100</f>
        <v>14.344262295081966</v>
      </c>
      <c r="U730" s="197">
        <f t="shared" si="170"/>
        <v>39</v>
      </c>
    </row>
    <row r="731" spans="1:20" ht="12.75">
      <c r="A731" s="71">
        <v>642002</v>
      </c>
      <c r="B731" s="24" t="s">
        <v>453</v>
      </c>
      <c r="C731" s="24"/>
      <c r="D731" s="24"/>
      <c r="E731" s="24"/>
      <c r="F731" s="24"/>
      <c r="G731" s="26">
        <v>28</v>
      </c>
      <c r="H731" s="14">
        <v>20</v>
      </c>
      <c r="I731" s="14">
        <v>20</v>
      </c>
      <c r="J731" s="14">
        <v>0</v>
      </c>
      <c r="K731" s="14">
        <v>150</v>
      </c>
      <c r="L731" s="26">
        <v>50</v>
      </c>
      <c r="N731" s="425"/>
      <c r="P731" s="547"/>
      <c r="R731" s="547"/>
      <c r="S731" s="31">
        <v>0</v>
      </c>
      <c r="T731" s="547"/>
    </row>
    <row r="732" spans="1:21" ht="12.75">
      <c r="A732" s="71">
        <v>642006</v>
      </c>
      <c r="B732" s="24" t="s">
        <v>419</v>
      </c>
      <c r="C732" s="24"/>
      <c r="D732" s="24"/>
      <c r="E732" s="24"/>
      <c r="F732" s="24"/>
      <c r="G732" s="26">
        <v>0</v>
      </c>
      <c r="H732" s="14">
        <v>0</v>
      </c>
      <c r="I732" s="14">
        <v>3</v>
      </c>
      <c r="J732" s="14">
        <v>3</v>
      </c>
      <c r="K732" s="14">
        <v>4</v>
      </c>
      <c r="L732" s="26">
        <v>4</v>
      </c>
      <c r="M732" s="31">
        <v>3</v>
      </c>
      <c r="N732" s="430">
        <f>SUM(M732/L732)*100</f>
        <v>75</v>
      </c>
      <c r="O732" s="31">
        <v>3</v>
      </c>
      <c r="P732" s="430">
        <f>SUM(O732/L732)*100</f>
        <v>75</v>
      </c>
      <c r="Q732" s="31">
        <v>3</v>
      </c>
      <c r="R732" s="430">
        <f>SUM(Q732/L732)*100</f>
        <v>75</v>
      </c>
      <c r="S732" s="31">
        <v>3</v>
      </c>
      <c r="T732" s="430">
        <f>SUM(S732/L732)*100</f>
        <v>75</v>
      </c>
      <c r="U732" s="31">
        <v>3</v>
      </c>
    </row>
    <row r="733" spans="1:20" ht="12.75">
      <c r="A733" s="71">
        <v>642014</v>
      </c>
      <c r="B733" s="24" t="s">
        <v>733</v>
      </c>
      <c r="C733" s="24"/>
      <c r="D733" s="24"/>
      <c r="E733" s="24"/>
      <c r="F733" s="24"/>
      <c r="G733" s="26"/>
      <c r="H733" s="14"/>
      <c r="I733" s="14"/>
      <c r="J733" s="14"/>
      <c r="K733" s="14"/>
      <c r="L733" s="26">
        <v>100</v>
      </c>
      <c r="N733" s="430"/>
      <c r="P733" s="547"/>
      <c r="R733" s="547"/>
      <c r="S733" s="31">
        <v>0</v>
      </c>
      <c r="T733" s="547"/>
    </row>
    <row r="734" spans="1:21" ht="12.75">
      <c r="A734" s="71">
        <v>642015</v>
      </c>
      <c r="B734" s="24" t="s">
        <v>382</v>
      </c>
      <c r="C734" s="24"/>
      <c r="D734" s="24"/>
      <c r="E734" s="24"/>
      <c r="F734" s="24"/>
      <c r="G734" s="26">
        <v>31</v>
      </c>
      <c r="H734" s="14">
        <v>40</v>
      </c>
      <c r="I734" s="14">
        <v>40</v>
      </c>
      <c r="J734" s="14">
        <v>25</v>
      </c>
      <c r="K734" s="14">
        <v>60</v>
      </c>
      <c r="L734" s="26">
        <v>90</v>
      </c>
      <c r="M734" s="31">
        <v>9</v>
      </c>
      <c r="N734" s="430">
        <f>SUM(M734/L734)*100</f>
        <v>10</v>
      </c>
      <c r="O734" s="31">
        <v>22</v>
      </c>
      <c r="P734" s="430">
        <f>SUM(O734/L734)*100</f>
        <v>24.444444444444443</v>
      </c>
      <c r="Q734" s="31">
        <v>32</v>
      </c>
      <c r="R734" s="430">
        <f>SUM(Q734/L734)*100</f>
        <v>35.55555555555556</v>
      </c>
      <c r="S734" s="31">
        <v>32</v>
      </c>
      <c r="T734" s="430">
        <f>SUM(S734/L734)*100</f>
        <v>35.55555555555556</v>
      </c>
      <c r="U734" s="31">
        <v>36</v>
      </c>
    </row>
    <row r="735" spans="1:20" ht="12.75">
      <c r="A735" s="14"/>
      <c r="B735" s="12"/>
      <c r="C735" s="12"/>
      <c r="D735" s="12"/>
      <c r="E735" s="12"/>
      <c r="F735" s="12"/>
      <c r="G735" s="26"/>
      <c r="H735" s="14"/>
      <c r="I735" s="14"/>
      <c r="J735" s="14"/>
      <c r="K735" s="14"/>
      <c r="L735" s="26"/>
      <c r="N735" s="425"/>
      <c r="P735" s="547"/>
      <c r="R735" s="547"/>
      <c r="T735" s="547"/>
    </row>
    <row r="736" spans="1:21" ht="15">
      <c r="A736" s="61">
        <v>700</v>
      </c>
      <c r="B736" s="63" t="s">
        <v>38</v>
      </c>
      <c r="C736" s="63"/>
      <c r="D736" s="12"/>
      <c r="E736" s="12"/>
      <c r="F736" s="12"/>
      <c r="G736" s="192" t="e">
        <f>G740+#REF!+#REF!+G737</f>
        <v>#REF!</v>
      </c>
      <c r="H736" s="192" t="e">
        <f>H740+#REF!+#REF!+H737</f>
        <v>#REF!</v>
      </c>
      <c r="I736" s="192" t="e">
        <f>I740+#REF!+#REF!+#REF!+I737</f>
        <v>#REF!</v>
      </c>
      <c r="J736" s="192" t="e">
        <f>J740+#REF!+#REF!+J737</f>
        <v>#REF!</v>
      </c>
      <c r="K736" s="192" t="e">
        <f>K740+#REF!+#REF!+K737</f>
        <v>#REF!</v>
      </c>
      <c r="L736" s="64">
        <f>L740+L737</f>
        <v>1360</v>
      </c>
      <c r="M736" s="413" t="e">
        <f>M740+#REF!+#REF!+M737</f>
        <v>#REF!</v>
      </c>
      <c r="N736" s="432" t="e">
        <f>SUM(M736/L736)*100</f>
        <v>#REF!</v>
      </c>
      <c r="O736" s="413" t="e">
        <f>O740+#REF!+#REF!+O737</f>
        <v>#REF!</v>
      </c>
      <c r="P736" s="432" t="e">
        <f>SUM(O736/L736)*100</f>
        <v>#REF!</v>
      </c>
      <c r="Q736" s="413" t="e">
        <f>Q740+#REF!+#REF!+Q737</f>
        <v>#REF!</v>
      </c>
      <c r="R736" s="432" t="e">
        <f>SUM(Q736/L736)*100</f>
        <v>#REF!</v>
      </c>
      <c r="S736" s="494">
        <f>S740+S737</f>
        <v>570</v>
      </c>
      <c r="T736" s="516">
        <f>SUM(S736/L736)*100</f>
        <v>41.911764705882355</v>
      </c>
      <c r="U736" s="494">
        <f>U740+U737</f>
        <v>623</v>
      </c>
    </row>
    <row r="737" spans="1:22" s="131" customFormat="1" ht="13.5" customHeight="1">
      <c r="A737" s="66">
        <v>711</v>
      </c>
      <c r="B737" s="49" t="s">
        <v>383</v>
      </c>
      <c r="C737" s="63"/>
      <c r="D737" s="24"/>
      <c r="E737" s="24"/>
      <c r="F737" s="24"/>
      <c r="G737" s="50">
        <f aca="true" t="shared" si="171" ref="G737:M737">SUM(G738)</f>
        <v>0</v>
      </c>
      <c r="H737" s="50">
        <f t="shared" si="171"/>
        <v>0</v>
      </c>
      <c r="I737" s="50">
        <f t="shared" si="171"/>
        <v>0</v>
      </c>
      <c r="J737" s="50">
        <f t="shared" si="171"/>
        <v>0</v>
      </c>
      <c r="K737" s="50">
        <f t="shared" si="171"/>
        <v>130</v>
      </c>
      <c r="L737" s="50">
        <f t="shared" si="171"/>
        <v>160</v>
      </c>
      <c r="M737" s="197">
        <f t="shared" si="171"/>
        <v>0</v>
      </c>
      <c r="N737" s="433">
        <f>SUM(M737/L737)*100</f>
        <v>0</v>
      </c>
      <c r="O737" s="389"/>
      <c r="P737" s="549"/>
      <c r="Q737" s="389"/>
      <c r="R737" s="549"/>
      <c r="S737" s="542">
        <v>0</v>
      </c>
      <c r="T737" s="58"/>
      <c r="U737" s="399">
        <v>0</v>
      </c>
      <c r="V737" s="399"/>
    </row>
    <row r="738" spans="1:21" ht="12" customHeight="1">
      <c r="A738" s="71">
        <v>711003</v>
      </c>
      <c r="B738" s="24" t="s">
        <v>454</v>
      </c>
      <c r="C738" s="24"/>
      <c r="D738" s="24"/>
      <c r="E738" s="24"/>
      <c r="F738" s="24"/>
      <c r="G738" s="56">
        <v>0</v>
      </c>
      <c r="H738" s="56">
        <v>0</v>
      </c>
      <c r="I738" s="56">
        <v>0</v>
      </c>
      <c r="J738" s="56">
        <v>0</v>
      </c>
      <c r="K738" s="56">
        <v>130</v>
      </c>
      <c r="L738" s="92">
        <v>160</v>
      </c>
      <c r="M738" s="31">
        <v>0</v>
      </c>
      <c r="N738" s="430">
        <f>SUM(M738/L738)*100</f>
        <v>0</v>
      </c>
      <c r="P738" s="547"/>
      <c r="R738" s="547"/>
      <c r="S738" s="31">
        <v>0</v>
      </c>
      <c r="T738" s="547"/>
      <c r="U738" s="31">
        <v>0</v>
      </c>
    </row>
    <row r="739" spans="1:20" ht="12.75" customHeight="1">
      <c r="A739" s="61"/>
      <c r="B739" s="63"/>
      <c r="C739" s="63"/>
      <c r="D739" s="12"/>
      <c r="E739" s="12"/>
      <c r="F739" s="12"/>
      <c r="G739" s="192"/>
      <c r="H739" s="192"/>
      <c r="I739" s="192"/>
      <c r="J739" s="192"/>
      <c r="K739" s="192"/>
      <c r="L739" s="192"/>
      <c r="N739" s="425"/>
      <c r="P739" s="547"/>
      <c r="R739" s="547"/>
      <c r="T739" s="547"/>
    </row>
    <row r="740" spans="1:21" ht="12.75">
      <c r="A740" s="66">
        <v>713</v>
      </c>
      <c r="B740" s="49" t="s">
        <v>455</v>
      </c>
      <c r="C740" s="49"/>
      <c r="D740" s="12"/>
      <c r="E740" s="12"/>
      <c r="F740" s="12"/>
      <c r="G740" s="193">
        <f aca="true" t="shared" si="172" ref="G740:U740">SUM(G741:G742)</f>
        <v>166</v>
      </c>
      <c r="H740" s="193">
        <f t="shared" si="172"/>
        <v>220</v>
      </c>
      <c r="I740" s="193">
        <f t="shared" si="172"/>
        <v>880</v>
      </c>
      <c r="J740" s="193">
        <f t="shared" si="172"/>
        <v>448</v>
      </c>
      <c r="K740" s="193">
        <f t="shared" si="172"/>
        <v>1265</v>
      </c>
      <c r="L740" s="50">
        <f t="shared" si="172"/>
        <v>1200</v>
      </c>
      <c r="M740" s="197">
        <f t="shared" si="172"/>
        <v>160</v>
      </c>
      <c r="N740" s="433">
        <f>SUM(M740/L740)*100</f>
        <v>13.333333333333334</v>
      </c>
      <c r="O740" s="197">
        <f t="shared" si="172"/>
        <v>213</v>
      </c>
      <c r="P740" s="433">
        <f>SUM(O740/L740)*100</f>
        <v>17.75</v>
      </c>
      <c r="Q740" s="197">
        <f t="shared" si="172"/>
        <v>570</v>
      </c>
      <c r="R740" s="433">
        <f>SUM(Q740/L740)*100</f>
        <v>47.5</v>
      </c>
      <c r="S740" s="197">
        <f t="shared" si="172"/>
        <v>570</v>
      </c>
      <c r="T740" s="433">
        <f>SUM(S740/L740)*100</f>
        <v>47.5</v>
      </c>
      <c r="U740" s="197">
        <f t="shared" si="172"/>
        <v>623</v>
      </c>
    </row>
    <row r="741" spans="1:20" ht="12.75">
      <c r="A741" s="71">
        <v>713002</v>
      </c>
      <c r="B741" s="24" t="s">
        <v>279</v>
      </c>
      <c r="C741" s="268"/>
      <c r="D741" s="24"/>
      <c r="E741" s="24"/>
      <c r="F741" s="24"/>
      <c r="G741" s="56">
        <v>0</v>
      </c>
      <c r="H741" s="14">
        <v>60</v>
      </c>
      <c r="I741" s="14">
        <v>60</v>
      </c>
      <c r="J741" s="14">
        <v>56</v>
      </c>
      <c r="K741" s="14">
        <v>165</v>
      </c>
      <c r="L741" s="26">
        <v>100</v>
      </c>
      <c r="N741" s="425"/>
      <c r="P741" s="547"/>
      <c r="R741" s="547"/>
      <c r="S741" s="31">
        <v>0</v>
      </c>
      <c r="T741" s="547"/>
    </row>
    <row r="742" spans="1:21" ht="12.75">
      <c r="A742" s="71">
        <v>713005</v>
      </c>
      <c r="B742" s="158" t="s">
        <v>456</v>
      </c>
      <c r="C742" s="24"/>
      <c r="D742" s="24"/>
      <c r="E742" s="24"/>
      <c r="F742" s="24"/>
      <c r="G742" s="56">
        <v>166</v>
      </c>
      <c r="H742" s="14">
        <v>160</v>
      </c>
      <c r="I742" s="14">
        <v>820</v>
      </c>
      <c r="J742" s="14">
        <v>392</v>
      </c>
      <c r="K742" s="14">
        <f>440+660</f>
        <v>1100</v>
      </c>
      <c r="L742" s="26">
        <v>1100</v>
      </c>
      <c r="M742" s="31">
        <v>160</v>
      </c>
      <c r="N742" s="430">
        <f>SUM(M742/L742)*100</f>
        <v>14.545454545454545</v>
      </c>
      <c r="O742" s="31">
        <v>213</v>
      </c>
      <c r="P742" s="430">
        <f>SUM(O742/L742)*100</f>
        <v>19.363636363636363</v>
      </c>
      <c r="Q742" s="31">
        <v>570</v>
      </c>
      <c r="R742" s="430">
        <f>SUM(Q742/L742)*100</f>
        <v>51.81818181818182</v>
      </c>
      <c r="S742" s="31">
        <v>570</v>
      </c>
      <c r="T742" s="430">
        <f>SUM(S742/L742)*100</f>
        <v>51.81818181818182</v>
      </c>
      <c r="U742" s="31">
        <v>623</v>
      </c>
    </row>
    <row r="743" spans="1:20" ht="13.5" thickBot="1">
      <c r="A743" s="53"/>
      <c r="B743" s="55"/>
      <c r="C743" s="55"/>
      <c r="D743" s="12"/>
      <c r="E743" s="12"/>
      <c r="F743" s="12"/>
      <c r="G743" s="26"/>
      <c r="H743" s="14"/>
      <c r="I743" s="14"/>
      <c r="J743" s="14"/>
      <c r="K743" s="14"/>
      <c r="L743" s="26"/>
      <c r="N743" s="425"/>
      <c r="P743" s="547"/>
      <c r="R743" s="547"/>
      <c r="T743" s="547"/>
    </row>
    <row r="744" spans="1:20" ht="12.7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19"/>
      <c r="M744" s="419"/>
      <c r="N744" s="490"/>
      <c r="O744" s="419"/>
      <c r="P744" s="4"/>
      <c r="Q744" s="419"/>
      <c r="R744" s="4"/>
      <c r="S744" s="419"/>
      <c r="T744" s="4"/>
    </row>
    <row r="745" ht="13.5" thickBot="1"/>
    <row r="746" spans="1:22" ht="13.5" thickBot="1">
      <c r="A746" s="177" t="s">
        <v>44</v>
      </c>
      <c r="B746" s="178"/>
      <c r="C746" s="178"/>
      <c r="D746" s="179"/>
      <c r="E746" s="179"/>
      <c r="F746" s="179"/>
      <c r="G746" s="215" t="s">
        <v>23</v>
      </c>
      <c r="H746" s="136"/>
      <c r="I746" s="137" t="s">
        <v>395</v>
      </c>
      <c r="J746" s="216"/>
      <c r="K746" s="10" t="s">
        <v>25</v>
      </c>
      <c r="L746" s="238" t="s">
        <v>645</v>
      </c>
      <c r="M746" s="403" t="s">
        <v>296</v>
      </c>
      <c r="N746" s="426" t="s">
        <v>684</v>
      </c>
      <c r="O746" s="403" t="s">
        <v>296</v>
      </c>
      <c r="P746" s="426" t="s">
        <v>683</v>
      </c>
      <c r="Q746" s="415" t="s">
        <v>296</v>
      </c>
      <c r="R746" s="426" t="s">
        <v>681</v>
      </c>
      <c r="S746" s="403" t="s">
        <v>296</v>
      </c>
      <c r="T746" s="421" t="s">
        <v>681</v>
      </c>
      <c r="U746" s="403" t="s">
        <v>296</v>
      </c>
      <c r="V746" s="30" t="s">
        <v>681</v>
      </c>
    </row>
    <row r="747" spans="1:22" ht="16.5" thickTop="1">
      <c r="A747" s="239" t="s">
        <v>169</v>
      </c>
      <c r="B747" s="181" t="s">
        <v>422</v>
      </c>
      <c r="C747" s="259"/>
      <c r="D747" s="12"/>
      <c r="E747" s="12"/>
      <c r="F747" s="12"/>
      <c r="G747" s="25" t="s">
        <v>45</v>
      </c>
      <c r="H747" s="32" t="s">
        <v>27</v>
      </c>
      <c r="I747" s="6" t="s">
        <v>92</v>
      </c>
      <c r="J747" s="108" t="s">
        <v>29</v>
      </c>
      <c r="K747" s="33" t="s">
        <v>46</v>
      </c>
      <c r="L747" s="208"/>
      <c r="M747" s="25" t="s">
        <v>297</v>
      </c>
      <c r="N747" s="425"/>
      <c r="O747" s="25" t="s">
        <v>750</v>
      </c>
      <c r="P747" s="547"/>
      <c r="Q747" s="416" t="s">
        <v>896</v>
      </c>
      <c r="R747" s="547"/>
      <c r="S747" s="25" t="s">
        <v>957</v>
      </c>
      <c r="T747" s="422"/>
      <c r="U747" s="25" t="s">
        <v>252</v>
      </c>
      <c r="V747" s="26"/>
    </row>
    <row r="748" spans="1:22" ht="13.5" thickBot="1">
      <c r="A748" s="183"/>
      <c r="B748" s="184"/>
      <c r="C748" s="185"/>
      <c r="D748" s="37"/>
      <c r="E748" s="37"/>
      <c r="F748" s="37"/>
      <c r="G748" s="218"/>
      <c r="H748" s="84">
        <v>38335</v>
      </c>
      <c r="I748" s="148">
        <v>38587</v>
      </c>
      <c r="J748" s="110" t="s">
        <v>31</v>
      </c>
      <c r="K748" s="33" t="s">
        <v>32</v>
      </c>
      <c r="L748" s="242"/>
      <c r="M748" s="404"/>
      <c r="N748" s="429"/>
      <c r="O748" s="404"/>
      <c r="P748" s="548"/>
      <c r="Q748" s="411"/>
      <c r="R748" s="548"/>
      <c r="S748" s="404"/>
      <c r="T748" s="423"/>
      <c r="U748" s="404"/>
      <c r="V748" s="27"/>
    </row>
    <row r="749" spans="1:20" ht="13.5" thickBot="1">
      <c r="A749" s="270" t="s">
        <v>47</v>
      </c>
      <c r="B749" s="271"/>
      <c r="C749" s="272"/>
      <c r="D749" s="34" t="s">
        <v>48</v>
      </c>
      <c r="E749" s="12"/>
      <c r="F749" s="12"/>
      <c r="G749" s="273">
        <v>1</v>
      </c>
      <c r="H749" s="82">
        <v>2</v>
      </c>
      <c r="I749" s="34">
        <v>3</v>
      </c>
      <c r="J749" s="32">
        <v>4</v>
      </c>
      <c r="K749" s="40">
        <v>1</v>
      </c>
      <c r="L749" s="599">
        <v>1</v>
      </c>
      <c r="M749" s="409"/>
      <c r="N749" s="424"/>
      <c r="O749" s="409"/>
      <c r="P749" s="551"/>
      <c r="R749" s="556"/>
      <c r="T749" s="556"/>
    </row>
    <row r="750" spans="1:20" ht="12.75">
      <c r="A750" s="264"/>
      <c r="B750" s="274"/>
      <c r="C750" s="265"/>
      <c r="D750" s="266"/>
      <c r="E750" s="4"/>
      <c r="F750" s="4"/>
      <c r="G750" s="238"/>
      <c r="H750" s="265"/>
      <c r="I750" s="16"/>
      <c r="J750" s="266"/>
      <c r="K750" s="16"/>
      <c r="L750" s="238"/>
      <c r="N750" s="425"/>
      <c r="P750" s="547"/>
      <c r="Q750" s="403"/>
      <c r="R750" s="556"/>
      <c r="S750" s="403"/>
      <c r="T750" s="556"/>
    </row>
    <row r="751" spans="1:20" ht="15">
      <c r="A751" s="14"/>
      <c r="B751" s="245" t="s">
        <v>402</v>
      </c>
      <c r="C751" s="12"/>
      <c r="D751" s="12"/>
      <c r="E751" s="12"/>
      <c r="F751" s="12"/>
      <c r="G751" s="14"/>
      <c r="H751" s="12"/>
      <c r="I751" s="14"/>
      <c r="J751" s="12"/>
      <c r="K751" s="14"/>
      <c r="L751" s="26"/>
      <c r="N751" s="425"/>
      <c r="P751" s="547"/>
      <c r="R751" s="547"/>
      <c r="T751" s="547"/>
    </row>
    <row r="752" spans="1:22" ht="15">
      <c r="A752" s="61">
        <v>800</v>
      </c>
      <c r="B752" s="98" t="s">
        <v>458</v>
      </c>
      <c r="C752" s="63"/>
      <c r="D752" s="63"/>
      <c r="E752" s="63"/>
      <c r="F752" s="63"/>
      <c r="G752" s="61">
        <f aca="true" t="shared" si="173" ref="G752:M753">SUM(G753)</f>
        <v>0</v>
      </c>
      <c r="H752" s="63">
        <f t="shared" si="173"/>
        <v>0</v>
      </c>
      <c r="I752" s="61">
        <f t="shared" si="173"/>
        <v>1050</v>
      </c>
      <c r="J752" s="63">
        <f t="shared" si="173"/>
        <v>56</v>
      </c>
      <c r="K752" s="61">
        <f t="shared" si="173"/>
        <v>1050</v>
      </c>
      <c r="L752" s="64">
        <f t="shared" si="173"/>
        <v>1050</v>
      </c>
      <c r="M752" s="413">
        <f t="shared" si="173"/>
        <v>118</v>
      </c>
      <c r="N752" s="432">
        <f>SUM(M752/L752)*100</f>
        <v>11.238095238095239</v>
      </c>
      <c r="O752" s="370">
        <v>225</v>
      </c>
      <c r="P752" s="432">
        <f>SUM(O752/L752)*100</f>
        <v>21.428571428571427</v>
      </c>
      <c r="Q752" s="370">
        <v>281</v>
      </c>
      <c r="R752" s="432">
        <f>SUM(Q752/L752)*100</f>
        <v>26.761904761904766</v>
      </c>
      <c r="S752" s="370">
        <v>337</v>
      </c>
      <c r="T752" s="432">
        <f>SUM(S752/L752)*100</f>
        <v>32.095238095238095</v>
      </c>
      <c r="U752" s="370">
        <v>339</v>
      </c>
      <c r="V752" s="370"/>
    </row>
    <row r="753" spans="1:22" ht="12.75">
      <c r="A753" s="66">
        <v>820</v>
      </c>
      <c r="B753" s="199" t="s">
        <v>459</v>
      </c>
      <c r="C753" s="12"/>
      <c r="D753" s="12"/>
      <c r="E753" s="12"/>
      <c r="F753" s="12"/>
      <c r="G753" s="66">
        <f t="shared" si="173"/>
        <v>0</v>
      </c>
      <c r="H753" s="49">
        <f t="shared" si="173"/>
        <v>0</v>
      </c>
      <c r="I753" s="66">
        <f t="shared" si="173"/>
        <v>1050</v>
      </c>
      <c r="J753" s="49">
        <f t="shared" si="173"/>
        <v>56</v>
      </c>
      <c r="K753" s="50">
        <f t="shared" si="173"/>
        <v>1050</v>
      </c>
      <c r="L753" s="50">
        <f t="shared" si="173"/>
        <v>1050</v>
      </c>
      <c r="M753" s="197">
        <f t="shared" si="173"/>
        <v>118</v>
      </c>
      <c r="N753" s="433">
        <f>SUM(M753/L753)*100</f>
        <v>11.238095238095239</v>
      </c>
      <c r="O753" s="399">
        <v>225</v>
      </c>
      <c r="P753" s="433">
        <f>SUM(O753/L753)*100</f>
        <v>21.428571428571427</v>
      </c>
      <c r="Q753" s="399">
        <v>281</v>
      </c>
      <c r="R753" s="433">
        <f>SUM(Q753/L753)*100</f>
        <v>26.761904761904766</v>
      </c>
      <c r="S753" s="399">
        <v>337</v>
      </c>
      <c r="T753" s="433">
        <f>SUM(S753/L753)*100</f>
        <v>32.095238095238095</v>
      </c>
      <c r="U753" s="399">
        <v>339</v>
      </c>
      <c r="V753" s="399"/>
    </row>
    <row r="754" spans="1:21" ht="13.5" thickBot="1">
      <c r="A754" s="21">
        <v>824</v>
      </c>
      <c r="B754" s="18" t="s">
        <v>460</v>
      </c>
      <c r="C754" s="19"/>
      <c r="D754" s="19"/>
      <c r="E754" s="19"/>
      <c r="F754" s="19"/>
      <c r="G754" s="21">
        <v>0</v>
      </c>
      <c r="H754" s="19"/>
      <c r="I754" s="27">
        <v>1050</v>
      </c>
      <c r="J754" s="19">
        <v>56</v>
      </c>
      <c r="K754" s="27">
        <v>1050</v>
      </c>
      <c r="L754" s="27">
        <v>1050</v>
      </c>
      <c r="M754" s="411">
        <v>118</v>
      </c>
      <c r="N754" s="443">
        <f>SUM(M754/L754)*100</f>
        <v>11.238095238095239</v>
      </c>
      <c r="O754" s="411">
        <v>225</v>
      </c>
      <c r="P754" s="443">
        <f>SUM(O754/L754)*100</f>
        <v>21.428571428571427</v>
      </c>
      <c r="Q754" s="411">
        <v>281</v>
      </c>
      <c r="R754" s="443">
        <f>SUM(Q754/L754)*100</f>
        <v>26.761904761904766</v>
      </c>
      <c r="S754" s="411">
        <v>337</v>
      </c>
      <c r="T754" s="443">
        <f>SUM(S754/L754)*100</f>
        <v>32.095238095238095</v>
      </c>
      <c r="U754" s="31">
        <v>339</v>
      </c>
    </row>
    <row r="755" spans="1:12" ht="12.75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52"/>
      <c r="L755" s="52"/>
    </row>
    <row r="756" spans="1:12" ht="12.75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52"/>
      <c r="L756" s="52"/>
    </row>
    <row r="757" spans="1:12" ht="12.75">
      <c r="A757" s="237" t="s">
        <v>844</v>
      </c>
      <c r="B757" s="12"/>
      <c r="C757" s="12"/>
      <c r="D757" s="12"/>
      <c r="E757" s="12"/>
      <c r="F757" s="12"/>
      <c r="G757" s="12"/>
      <c r="H757" s="12"/>
      <c r="I757" s="12"/>
      <c r="J757" s="12"/>
      <c r="K757" s="52"/>
      <c r="L757" s="52"/>
    </row>
    <row r="758" spans="1:12" ht="12.75">
      <c r="A758" s="12" t="s">
        <v>843</v>
      </c>
      <c r="B758" s="12"/>
      <c r="C758" s="12"/>
      <c r="D758" s="12"/>
      <c r="E758" s="12"/>
      <c r="F758" s="12"/>
      <c r="G758" s="12"/>
      <c r="H758" s="12"/>
      <c r="I758" s="12"/>
      <c r="J758" s="12"/>
      <c r="K758" s="52"/>
      <c r="L758" s="52"/>
    </row>
    <row r="759" spans="1:12" ht="12.75">
      <c r="A759" s="237" t="s">
        <v>845</v>
      </c>
      <c r="B759" s="12"/>
      <c r="C759" s="12"/>
      <c r="D759" s="12"/>
      <c r="E759" s="12"/>
      <c r="F759" s="12"/>
      <c r="G759" s="12"/>
      <c r="H759" s="12"/>
      <c r="I759" s="12"/>
      <c r="J759" s="12"/>
      <c r="K759" s="52"/>
      <c r="L759" s="52"/>
    </row>
    <row r="760" spans="1:12" ht="12.75">
      <c r="A760" s="237" t="s">
        <v>846</v>
      </c>
      <c r="B760" s="12"/>
      <c r="C760" s="12"/>
      <c r="D760" s="12"/>
      <c r="E760" s="12"/>
      <c r="F760" s="12"/>
      <c r="G760" s="12"/>
      <c r="H760" s="12"/>
      <c r="I760" s="12"/>
      <c r="J760" s="12"/>
      <c r="K760" s="52"/>
      <c r="L760" s="52"/>
    </row>
    <row r="761" spans="1:12" ht="12.75">
      <c r="A761" s="12" t="s">
        <v>847</v>
      </c>
      <c r="B761" s="12"/>
      <c r="C761" s="12"/>
      <c r="D761" s="12"/>
      <c r="E761" s="12"/>
      <c r="F761" s="12"/>
      <c r="G761" s="12"/>
      <c r="H761" s="12"/>
      <c r="I761" s="12"/>
      <c r="J761" s="12"/>
      <c r="K761" s="52"/>
      <c r="L761" s="52"/>
    </row>
    <row r="762" spans="1:12" ht="12.75">
      <c r="A762" s="237" t="s">
        <v>848</v>
      </c>
      <c r="B762" s="12"/>
      <c r="C762" s="12"/>
      <c r="D762" s="12"/>
      <c r="E762" s="12"/>
      <c r="F762" s="12"/>
      <c r="G762" s="12"/>
      <c r="H762" s="12"/>
      <c r="I762" s="12"/>
      <c r="J762" s="12"/>
      <c r="K762" s="52"/>
      <c r="L762" s="52"/>
    </row>
    <row r="763" spans="1:12" ht="12.75">
      <c r="A763" s="12" t="s">
        <v>849</v>
      </c>
      <c r="B763" s="12"/>
      <c r="C763" s="12"/>
      <c r="D763" s="12"/>
      <c r="E763" s="12"/>
      <c r="F763" s="12"/>
      <c r="G763" s="12"/>
      <c r="H763" s="12"/>
      <c r="I763" s="12"/>
      <c r="J763" s="12"/>
      <c r="K763" s="52"/>
      <c r="L763" s="52"/>
    </row>
    <row r="764" spans="1:12" ht="12.75">
      <c r="A764" s="12" t="s">
        <v>850</v>
      </c>
      <c r="B764" s="12"/>
      <c r="C764" s="12"/>
      <c r="D764" s="12"/>
      <c r="E764" s="12"/>
      <c r="F764" s="12"/>
      <c r="G764" s="12"/>
      <c r="H764" s="12"/>
      <c r="I764" s="12"/>
      <c r="J764" s="12"/>
      <c r="K764" s="52"/>
      <c r="L764" s="52"/>
    </row>
    <row r="765" spans="1:12" ht="12.75">
      <c r="A765" s="237" t="s">
        <v>851</v>
      </c>
      <c r="B765" s="12"/>
      <c r="C765" s="12"/>
      <c r="D765" s="12"/>
      <c r="E765" s="12"/>
      <c r="F765" s="12"/>
      <c r="G765" s="12"/>
      <c r="H765" s="12"/>
      <c r="I765" s="12"/>
      <c r="J765" s="12"/>
      <c r="K765" s="52"/>
      <c r="L765" s="52"/>
    </row>
    <row r="766" spans="1:12" ht="12.75">
      <c r="A766" s="12" t="s">
        <v>852</v>
      </c>
      <c r="B766" s="12"/>
      <c r="C766" s="12"/>
      <c r="D766" s="12"/>
      <c r="E766" s="12"/>
      <c r="F766" s="12"/>
      <c r="G766" s="12"/>
      <c r="H766" s="12"/>
      <c r="I766" s="12"/>
      <c r="J766" s="12"/>
      <c r="K766" s="52"/>
      <c r="L766" s="52"/>
    </row>
    <row r="767" spans="1:12" ht="12.75">
      <c r="A767" s="237" t="s">
        <v>854</v>
      </c>
      <c r="B767" s="12"/>
      <c r="C767" s="12"/>
      <c r="D767" s="12"/>
      <c r="E767" s="12"/>
      <c r="F767" s="12"/>
      <c r="G767" s="12"/>
      <c r="H767" s="12"/>
      <c r="I767" s="12"/>
      <c r="J767" s="12"/>
      <c r="K767" s="52"/>
      <c r="L767" s="52"/>
    </row>
    <row r="768" spans="1:12" ht="12.75">
      <c r="A768" s="12" t="s">
        <v>853</v>
      </c>
      <c r="B768" s="12"/>
      <c r="C768" s="12"/>
      <c r="D768" s="12"/>
      <c r="E768" s="12"/>
      <c r="F768" s="12"/>
      <c r="G768" s="12"/>
      <c r="H768" s="12"/>
      <c r="I768" s="12"/>
      <c r="J768" s="12"/>
      <c r="K768" s="52"/>
      <c r="L768" s="52"/>
    </row>
    <row r="769" spans="1:12" ht="12.75">
      <c r="A769" s="237" t="s">
        <v>855</v>
      </c>
      <c r="B769" s="12"/>
      <c r="C769" s="12"/>
      <c r="D769" s="12"/>
      <c r="E769" s="12"/>
      <c r="F769" s="12"/>
      <c r="G769" s="12"/>
      <c r="H769" s="12"/>
      <c r="I769" s="12"/>
      <c r="J769" s="12"/>
      <c r="K769" s="52"/>
      <c r="L769" s="52"/>
    </row>
    <row r="770" spans="1:12" ht="12.75">
      <c r="A770" s="237" t="s">
        <v>856</v>
      </c>
      <c r="B770" s="12"/>
      <c r="C770" s="12"/>
      <c r="D770" s="12"/>
      <c r="E770" s="12"/>
      <c r="F770" s="12"/>
      <c r="G770" s="12"/>
      <c r="H770" s="12"/>
      <c r="I770" s="12"/>
      <c r="J770" s="12"/>
      <c r="K770" s="52"/>
      <c r="L770" s="52"/>
    </row>
    <row r="771" spans="1:12" ht="12.75">
      <c r="A771" s="12" t="s">
        <v>857</v>
      </c>
      <c r="B771" s="12"/>
      <c r="C771" s="12"/>
      <c r="D771" s="12"/>
      <c r="E771" s="12"/>
      <c r="F771" s="12"/>
      <c r="G771" s="12"/>
      <c r="H771" s="12"/>
      <c r="I771" s="12"/>
      <c r="J771" s="12"/>
      <c r="K771" s="52"/>
      <c r="L771" s="52"/>
    </row>
    <row r="772" spans="1:12" ht="12.75">
      <c r="A772" s="55" t="s">
        <v>858</v>
      </c>
      <c r="B772" s="12"/>
      <c r="C772" s="12"/>
      <c r="D772" s="12"/>
      <c r="E772" s="12"/>
      <c r="F772" s="12"/>
      <c r="G772" s="12"/>
      <c r="H772" s="12"/>
      <c r="I772" s="12"/>
      <c r="J772" s="12"/>
      <c r="K772" s="52"/>
      <c r="L772" s="52"/>
    </row>
    <row r="773" spans="1:12" ht="12.75">
      <c r="A773" s="12" t="s">
        <v>859</v>
      </c>
      <c r="B773" s="12"/>
      <c r="C773" s="12"/>
      <c r="D773" s="12"/>
      <c r="E773" s="12"/>
      <c r="F773" s="12"/>
      <c r="G773" s="12"/>
      <c r="H773" s="12"/>
      <c r="I773" s="12"/>
      <c r="J773" s="12"/>
      <c r="K773" s="52"/>
      <c r="L773" s="52"/>
    </row>
    <row r="774" spans="1:12" ht="12.75">
      <c r="A774" s="12" t="s">
        <v>860</v>
      </c>
      <c r="B774" s="12"/>
      <c r="C774" s="12"/>
      <c r="D774" s="12"/>
      <c r="E774" s="12"/>
      <c r="F774" s="12"/>
      <c r="G774" s="12"/>
      <c r="H774" s="12"/>
      <c r="I774" s="12"/>
      <c r="J774" s="12"/>
      <c r="K774" s="52"/>
      <c r="L774" s="52"/>
    </row>
    <row r="775" spans="1:12" ht="12.75">
      <c r="A775" s="237" t="s">
        <v>861</v>
      </c>
      <c r="B775" s="12"/>
      <c r="C775" s="12"/>
      <c r="D775" s="12"/>
      <c r="E775" s="12"/>
      <c r="F775" s="12"/>
      <c r="G775" s="12"/>
      <c r="H775" s="12"/>
      <c r="I775" s="12"/>
      <c r="J775" s="12"/>
      <c r="K775" s="52"/>
      <c r="L775" s="52"/>
    </row>
    <row r="776" spans="1:12" ht="12.75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52"/>
      <c r="L776" s="52"/>
    </row>
    <row r="777" spans="1:22" s="109" customFormat="1" ht="12.75">
      <c r="A777" s="237" t="s">
        <v>38</v>
      </c>
      <c r="B777" s="237"/>
      <c r="C777" s="237"/>
      <c r="D777" s="237"/>
      <c r="E777" s="237"/>
      <c r="F777" s="237"/>
      <c r="G777" s="237"/>
      <c r="H777" s="237"/>
      <c r="I777" s="237"/>
      <c r="J777" s="237"/>
      <c r="K777" s="122"/>
      <c r="L777" s="122"/>
      <c r="M777" s="121"/>
      <c r="N777" s="711"/>
      <c r="O777" s="121"/>
      <c r="Q777" s="121"/>
      <c r="S777" s="121"/>
      <c r="U777" s="121"/>
      <c r="V777" s="121"/>
    </row>
    <row r="778" spans="1:12" ht="12.75">
      <c r="A778" s="237" t="s">
        <v>863</v>
      </c>
      <c r="B778" s="12"/>
      <c r="C778" s="12"/>
      <c r="D778" s="12"/>
      <c r="E778" s="12"/>
      <c r="F778" s="12"/>
      <c r="G778" s="12"/>
      <c r="H778" s="12"/>
      <c r="I778" s="12"/>
      <c r="J778" s="12"/>
      <c r="K778" s="52"/>
      <c r="L778" s="52"/>
    </row>
    <row r="779" spans="1:12" ht="12.75">
      <c r="A779" s="237" t="s">
        <v>864</v>
      </c>
      <c r="B779" s="12"/>
      <c r="C779" s="12"/>
      <c r="D779" s="12"/>
      <c r="E779" s="12"/>
      <c r="F779" s="12"/>
      <c r="G779" s="12"/>
      <c r="H779" s="12"/>
      <c r="I779" s="12"/>
      <c r="J779" s="12"/>
      <c r="K779" s="52"/>
      <c r="L779" s="52"/>
    </row>
    <row r="780" spans="1:12" ht="12.75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52"/>
      <c r="L780" s="52"/>
    </row>
    <row r="781" spans="1:12" ht="12.75">
      <c r="A781" s="237" t="s">
        <v>903</v>
      </c>
      <c r="B781" s="12"/>
      <c r="C781" s="12"/>
      <c r="D781" s="12"/>
      <c r="E781" s="12"/>
      <c r="F781" s="12"/>
      <c r="G781" s="12"/>
      <c r="H781" s="12"/>
      <c r="I781" s="12"/>
      <c r="J781" s="12"/>
      <c r="K781" s="52"/>
      <c r="L781" s="52"/>
    </row>
    <row r="782" spans="1:12" ht="12.75">
      <c r="A782" s="237" t="s">
        <v>865</v>
      </c>
      <c r="B782" s="12"/>
      <c r="C782" s="12"/>
      <c r="D782" s="12"/>
      <c r="E782" s="12"/>
      <c r="F782" s="12"/>
      <c r="G782" s="12"/>
      <c r="H782" s="12"/>
      <c r="I782" s="12"/>
      <c r="J782" s="12"/>
      <c r="K782" s="52"/>
      <c r="L782" s="52"/>
    </row>
    <row r="783" ht="13.5" thickBot="1"/>
    <row r="784" spans="1:22" ht="13.5" thickBot="1">
      <c r="A784" s="177" t="s">
        <v>44</v>
      </c>
      <c r="B784" s="178"/>
      <c r="C784" s="178"/>
      <c r="D784" s="179"/>
      <c r="E784" s="179"/>
      <c r="F784" s="179"/>
      <c r="G784" s="15" t="s">
        <v>23</v>
      </c>
      <c r="H784" s="136"/>
      <c r="I784" s="137" t="s">
        <v>395</v>
      </c>
      <c r="J784" s="216"/>
      <c r="K784" s="10" t="s">
        <v>25</v>
      </c>
      <c r="L784" s="238" t="s">
        <v>645</v>
      </c>
      <c r="M784" s="403" t="s">
        <v>296</v>
      </c>
      <c r="N784" s="426" t="s">
        <v>684</v>
      </c>
      <c r="O784" s="403" t="s">
        <v>296</v>
      </c>
      <c r="P784" s="426" t="s">
        <v>683</v>
      </c>
      <c r="Q784" s="415" t="s">
        <v>296</v>
      </c>
      <c r="R784" s="426" t="s">
        <v>681</v>
      </c>
      <c r="S784" s="403" t="s">
        <v>296</v>
      </c>
      <c r="T784" s="421" t="s">
        <v>681</v>
      </c>
      <c r="U784" s="403" t="s">
        <v>296</v>
      </c>
      <c r="V784" s="30" t="s">
        <v>681</v>
      </c>
    </row>
    <row r="785" spans="1:22" ht="16.5" thickTop="1">
      <c r="A785" s="276" t="s">
        <v>171</v>
      </c>
      <c r="B785" s="277" t="s">
        <v>172</v>
      </c>
      <c r="C785" s="278"/>
      <c r="D785" s="12"/>
      <c r="E785" s="12"/>
      <c r="F785" s="12"/>
      <c r="G785" s="11" t="s">
        <v>45</v>
      </c>
      <c r="H785" s="32" t="s">
        <v>27</v>
      </c>
      <c r="I785" s="6" t="s">
        <v>92</v>
      </c>
      <c r="J785" s="108" t="s">
        <v>29</v>
      </c>
      <c r="K785" s="33" t="s">
        <v>46</v>
      </c>
      <c r="L785" s="208"/>
      <c r="M785" s="25" t="s">
        <v>297</v>
      </c>
      <c r="N785" s="425"/>
      <c r="O785" s="25" t="s">
        <v>750</v>
      </c>
      <c r="P785" s="547"/>
      <c r="Q785" s="416" t="s">
        <v>896</v>
      </c>
      <c r="R785" s="547"/>
      <c r="S785" s="25" t="s">
        <v>957</v>
      </c>
      <c r="T785" s="422"/>
      <c r="U785" s="25" t="s">
        <v>252</v>
      </c>
      <c r="V785" s="26"/>
    </row>
    <row r="786" spans="1:22" ht="16.5" thickBot="1">
      <c r="A786" s="279"/>
      <c r="B786" s="280"/>
      <c r="C786" s="281"/>
      <c r="D786" s="37"/>
      <c r="E786" s="37"/>
      <c r="F786" s="37"/>
      <c r="G786" s="83"/>
      <c r="H786" s="84">
        <v>38335</v>
      </c>
      <c r="I786" s="148">
        <v>38587</v>
      </c>
      <c r="J786" s="110" t="s">
        <v>31</v>
      </c>
      <c r="K786" s="33" t="s">
        <v>32</v>
      </c>
      <c r="L786" s="242"/>
      <c r="M786" s="404"/>
      <c r="N786" s="429"/>
      <c r="O786" s="404"/>
      <c r="P786" s="548"/>
      <c r="Q786" s="411"/>
      <c r="R786" s="548"/>
      <c r="S786" s="404"/>
      <c r="T786" s="423"/>
      <c r="U786" s="404"/>
      <c r="V786" s="27"/>
    </row>
    <row r="787" spans="1:20" ht="13.5" thickBot="1">
      <c r="A787" s="186" t="s">
        <v>47</v>
      </c>
      <c r="B787" s="187"/>
      <c r="C787" s="39"/>
      <c r="D787" s="188" t="s">
        <v>48</v>
      </c>
      <c r="E787" s="19"/>
      <c r="F787" s="19"/>
      <c r="G787" s="152">
        <v>1</v>
      </c>
      <c r="H787" s="41">
        <v>2</v>
      </c>
      <c r="I787" s="188">
        <v>3</v>
      </c>
      <c r="J787" s="22">
        <v>4</v>
      </c>
      <c r="K787" s="40">
        <v>1</v>
      </c>
      <c r="L787" s="599">
        <v>1</v>
      </c>
      <c r="M787" s="409"/>
      <c r="N787" s="424"/>
      <c r="P787" s="547"/>
      <c r="R787" s="556"/>
      <c r="T787" s="556"/>
    </row>
    <row r="788" spans="1:22" s="28" customFormat="1" ht="15">
      <c r="A788" s="445"/>
      <c r="B788" s="449" t="s">
        <v>228</v>
      </c>
      <c r="C788" s="372"/>
      <c r="D788" s="373"/>
      <c r="E788" s="373"/>
      <c r="F788" s="373"/>
      <c r="G788" s="371" t="e">
        <f>G793+G797+G802+G806+#REF!+G790</f>
        <v>#REF!</v>
      </c>
      <c r="H788" s="371" t="e">
        <f>H793+H797+H802+H806+#REF!+H790</f>
        <v>#REF!</v>
      </c>
      <c r="I788" s="371" t="e">
        <f>I793+I797+I802+I806+#REF!+I790</f>
        <v>#REF!</v>
      </c>
      <c r="J788" s="371" t="e">
        <f>J793+J797+J802+J806+#REF!+J790</f>
        <v>#REF!</v>
      </c>
      <c r="K788" s="371" t="e">
        <f>K793+K797+K802+K806+#REF!+K790</f>
        <v>#REF!</v>
      </c>
      <c r="L788" s="390">
        <f>L793+L797+L802+L806+L790</f>
        <v>282</v>
      </c>
      <c r="M788" s="392" t="e">
        <f>M793+M797+M802+M806+#REF!+M790</f>
        <v>#REF!</v>
      </c>
      <c r="N788" s="440" t="e">
        <f>SUM(M788/L788)*100</f>
        <v>#REF!</v>
      </c>
      <c r="O788" s="392" t="e">
        <f>O793+O797+O802+O806+#REF!+O790</f>
        <v>#REF!</v>
      </c>
      <c r="P788" s="567" t="e">
        <f>SUM(O788/L788)*100</f>
        <v>#REF!</v>
      </c>
      <c r="Q788" s="392" t="e">
        <f>Q793+Q797+Q802+Q806+#REF!+Q790</f>
        <v>#REF!</v>
      </c>
      <c r="R788" s="567" t="e">
        <f>SUM(Q788/L788)*100</f>
        <v>#REF!</v>
      </c>
      <c r="S788" s="392">
        <f>S793+S797+S802+S806+S790</f>
        <v>90</v>
      </c>
      <c r="T788" s="567">
        <f>SUM(S788/L788)*100</f>
        <v>31.914893617021278</v>
      </c>
      <c r="U788" s="392">
        <f>U793+U797+U802+U806+U790</f>
        <v>112</v>
      </c>
      <c r="V788" s="783"/>
    </row>
    <row r="789" spans="1:20" ht="12.75">
      <c r="A789" s="282"/>
      <c r="B789" s="283"/>
      <c r="C789" s="161"/>
      <c r="D789" s="162"/>
      <c r="E789" s="162"/>
      <c r="F789" s="162"/>
      <c r="G789" s="284"/>
      <c r="H789" s="285"/>
      <c r="I789" s="285"/>
      <c r="J789" s="285"/>
      <c r="K789" s="14"/>
      <c r="L789" s="26"/>
      <c r="N789" s="425"/>
      <c r="P789" s="547"/>
      <c r="Q789" s="52"/>
      <c r="R789" s="547"/>
      <c r="T789" s="547"/>
    </row>
    <row r="790" spans="1:22" ht="12.75">
      <c r="A790" s="244">
        <v>632</v>
      </c>
      <c r="B790" s="286" t="s">
        <v>234</v>
      </c>
      <c r="C790" s="269"/>
      <c r="D790" s="287"/>
      <c r="E790" s="287"/>
      <c r="F790" s="287"/>
      <c r="G790" s="288">
        <f aca="true" t="shared" si="174" ref="G790:S790">SUM(G791)</f>
        <v>8</v>
      </c>
      <c r="H790" s="288">
        <f t="shared" si="174"/>
        <v>15</v>
      </c>
      <c r="I790" s="288">
        <f t="shared" si="174"/>
        <v>15</v>
      </c>
      <c r="J790" s="288">
        <f t="shared" si="174"/>
        <v>10</v>
      </c>
      <c r="K790" s="288">
        <f t="shared" si="174"/>
        <v>17</v>
      </c>
      <c r="L790" s="305">
        <f t="shared" si="174"/>
        <v>17</v>
      </c>
      <c r="M790" s="417">
        <f t="shared" si="174"/>
        <v>3</v>
      </c>
      <c r="N790" s="433">
        <f>SUM(M790/L790)*100</f>
        <v>17.647058823529413</v>
      </c>
      <c r="O790" s="417">
        <f t="shared" si="174"/>
        <v>3</v>
      </c>
      <c r="P790" s="433">
        <f>SUM(O790/L790)*100</f>
        <v>17.647058823529413</v>
      </c>
      <c r="Q790" s="417">
        <f t="shared" si="174"/>
        <v>3</v>
      </c>
      <c r="R790" s="433">
        <f>SUM(Q790/L790)*100</f>
        <v>17.647058823529413</v>
      </c>
      <c r="S790" s="417">
        <f t="shared" si="174"/>
        <v>4</v>
      </c>
      <c r="T790" s="433">
        <f>SUM(S790/L790)*100</f>
        <v>23.52941176470588</v>
      </c>
      <c r="U790" s="574">
        <v>4</v>
      </c>
      <c r="V790" s="574"/>
    </row>
    <row r="791" spans="1:21" ht="12.75">
      <c r="A791" s="262">
        <v>632001</v>
      </c>
      <c r="B791" s="289" t="s">
        <v>235</v>
      </c>
      <c r="C791" s="158"/>
      <c r="D791" s="158"/>
      <c r="E791" s="158"/>
      <c r="F791" s="158"/>
      <c r="G791" s="290">
        <v>8</v>
      </c>
      <c r="H791" s="290">
        <v>15</v>
      </c>
      <c r="I791" s="290">
        <v>15</v>
      </c>
      <c r="J791" s="290">
        <v>10</v>
      </c>
      <c r="K791" s="14">
        <v>17</v>
      </c>
      <c r="L791" s="26">
        <v>17</v>
      </c>
      <c r="M791" s="31">
        <v>3</v>
      </c>
      <c r="N791" s="430">
        <f>SUM(M791/L791)*100</f>
        <v>17.647058823529413</v>
      </c>
      <c r="O791" s="31">
        <v>3</v>
      </c>
      <c r="P791" s="430">
        <f>SUM(O791/L791)*100</f>
        <v>17.647058823529413</v>
      </c>
      <c r="Q791" s="31">
        <v>3</v>
      </c>
      <c r="R791" s="430">
        <f>SUM(Q791/L791)*100</f>
        <v>17.647058823529413</v>
      </c>
      <c r="S791" s="31">
        <v>4</v>
      </c>
      <c r="T791" s="430">
        <f>SUM(S791/L791)*100</f>
        <v>23.52941176470588</v>
      </c>
      <c r="U791" s="31">
        <v>4</v>
      </c>
    </row>
    <row r="792" spans="1:20" ht="12.75">
      <c r="A792" s="282"/>
      <c r="B792" s="283"/>
      <c r="C792" s="161"/>
      <c r="D792" s="162"/>
      <c r="E792" s="162"/>
      <c r="F792" s="162"/>
      <c r="G792" s="284"/>
      <c r="H792" s="14"/>
      <c r="I792" s="14"/>
      <c r="J792" s="14"/>
      <c r="K792" s="14"/>
      <c r="L792" s="26"/>
      <c r="N792" s="425"/>
      <c r="P792" s="547"/>
      <c r="R792" s="547"/>
      <c r="T792" s="547"/>
    </row>
    <row r="793" spans="1:21" ht="12.75">
      <c r="A793" s="199">
        <v>633</v>
      </c>
      <c r="B793" s="291" t="s">
        <v>461</v>
      </c>
      <c r="C793" s="49"/>
      <c r="D793" s="12"/>
      <c r="E793" s="12"/>
      <c r="F793" s="12"/>
      <c r="G793" s="288">
        <f aca="true" t="shared" si="175" ref="G793:O793">SUM(G794:G795)</f>
        <v>10</v>
      </c>
      <c r="H793" s="198">
        <f t="shared" si="175"/>
        <v>45</v>
      </c>
      <c r="I793" s="198">
        <f t="shared" si="175"/>
        <v>45</v>
      </c>
      <c r="J793" s="198">
        <f t="shared" si="175"/>
        <v>0</v>
      </c>
      <c r="K793" s="198">
        <f t="shared" si="175"/>
        <v>50</v>
      </c>
      <c r="L793" s="50">
        <f t="shared" si="175"/>
        <v>50</v>
      </c>
      <c r="M793" s="197">
        <f t="shared" si="175"/>
        <v>0</v>
      </c>
      <c r="N793" s="433">
        <f>SUM(M793/L793)*100</f>
        <v>0</v>
      </c>
      <c r="O793" s="197">
        <f t="shared" si="175"/>
        <v>17</v>
      </c>
      <c r="P793" s="433">
        <f>SUM(O793/L793)*100</f>
        <v>34</v>
      </c>
      <c r="Q793" s="389"/>
      <c r="R793" s="433">
        <f>SUM(Q793/L793)*100</f>
        <v>0</v>
      </c>
      <c r="S793" s="399">
        <v>0</v>
      </c>
      <c r="T793" s="547"/>
      <c r="U793" s="50">
        <f>SUM(U794:U795)</f>
        <v>20</v>
      </c>
    </row>
    <row r="794" spans="1:21" ht="12.75">
      <c r="A794" s="23">
        <v>633007</v>
      </c>
      <c r="B794" s="292" t="s">
        <v>462</v>
      </c>
      <c r="C794" s="24"/>
      <c r="D794" s="12"/>
      <c r="E794" s="12"/>
      <c r="F794" s="12"/>
      <c r="G794" s="284">
        <v>0</v>
      </c>
      <c r="H794" s="14">
        <v>35</v>
      </c>
      <c r="I794" s="14">
        <v>35</v>
      </c>
      <c r="J794" s="14">
        <v>0</v>
      </c>
      <c r="K794" s="14">
        <v>40</v>
      </c>
      <c r="L794" s="26">
        <v>40</v>
      </c>
      <c r="N794" s="425"/>
      <c r="O794" s="31">
        <v>17</v>
      </c>
      <c r="P794" s="430">
        <f>SUM(O794/L794)*100</f>
        <v>42.5</v>
      </c>
      <c r="R794" s="430">
        <f>SUM(Q794/L794)*100</f>
        <v>0</v>
      </c>
      <c r="S794" s="31">
        <v>0</v>
      </c>
      <c r="T794" s="547"/>
      <c r="U794" s="31">
        <v>20</v>
      </c>
    </row>
    <row r="795" spans="1:20" ht="12.75">
      <c r="A795" s="23">
        <v>633010</v>
      </c>
      <c r="B795" s="292" t="s">
        <v>463</v>
      </c>
      <c r="C795" s="24"/>
      <c r="D795" s="12"/>
      <c r="E795" s="12"/>
      <c r="F795" s="12"/>
      <c r="G795" s="284">
        <v>10</v>
      </c>
      <c r="H795" s="14">
        <v>10</v>
      </c>
      <c r="I795" s="14">
        <v>10</v>
      </c>
      <c r="J795" s="14">
        <v>0</v>
      </c>
      <c r="K795" s="14">
        <v>10</v>
      </c>
      <c r="L795" s="26">
        <v>10</v>
      </c>
      <c r="N795" s="425"/>
      <c r="P795" s="547"/>
      <c r="R795" s="547"/>
      <c r="S795" s="31">
        <v>0</v>
      </c>
      <c r="T795" s="547"/>
    </row>
    <row r="796" spans="1:20" ht="12.75">
      <c r="A796" s="93"/>
      <c r="B796" s="293"/>
      <c r="C796" s="55"/>
      <c r="D796" s="12"/>
      <c r="E796" s="12"/>
      <c r="F796" s="12"/>
      <c r="G796" s="284"/>
      <c r="H796" s="14"/>
      <c r="I796" s="14"/>
      <c r="J796" s="14"/>
      <c r="K796" s="14"/>
      <c r="L796" s="26"/>
      <c r="N796" s="425"/>
      <c r="P796" s="547"/>
      <c r="R796" s="547"/>
      <c r="T796" s="547"/>
    </row>
    <row r="797" spans="1:22" s="131" customFormat="1" ht="12.75">
      <c r="A797" s="199">
        <v>634</v>
      </c>
      <c r="B797" s="291" t="s">
        <v>269</v>
      </c>
      <c r="C797" s="49"/>
      <c r="D797" s="24"/>
      <c r="E797" s="24"/>
      <c r="F797" s="24"/>
      <c r="G797" s="302">
        <f aca="true" t="shared" si="176" ref="G797:M797">SUM(G798:G800)</f>
        <v>10</v>
      </c>
      <c r="H797" s="66">
        <f t="shared" si="176"/>
        <v>25</v>
      </c>
      <c r="I797" s="66">
        <f t="shared" si="176"/>
        <v>25</v>
      </c>
      <c r="J797" s="66">
        <f t="shared" si="176"/>
        <v>0</v>
      </c>
      <c r="K797" s="66">
        <f t="shared" si="176"/>
        <v>45</v>
      </c>
      <c r="L797" s="50">
        <f t="shared" si="176"/>
        <v>35</v>
      </c>
      <c r="M797" s="197">
        <f t="shared" si="176"/>
        <v>0</v>
      </c>
      <c r="N797" s="433">
        <f>SUM(M797/L797)*100</f>
        <v>0</v>
      </c>
      <c r="O797" s="389"/>
      <c r="P797" s="549"/>
      <c r="Q797" s="389"/>
      <c r="R797" s="549"/>
      <c r="S797" s="399">
        <v>0</v>
      </c>
      <c r="T797" s="549"/>
      <c r="U797" s="399">
        <f>SUM(U798+U799+U800)</f>
        <v>1</v>
      </c>
      <c r="V797" s="389"/>
    </row>
    <row r="798" spans="1:20" ht="12.75">
      <c r="A798" s="23">
        <v>634001</v>
      </c>
      <c r="B798" s="292" t="s">
        <v>464</v>
      </c>
      <c r="C798" s="55"/>
      <c r="D798" s="12"/>
      <c r="E798" s="12"/>
      <c r="F798" s="12"/>
      <c r="G798" s="284">
        <v>5</v>
      </c>
      <c r="H798" s="14">
        <v>5</v>
      </c>
      <c r="I798" s="14">
        <v>5</v>
      </c>
      <c r="J798" s="14">
        <v>0</v>
      </c>
      <c r="K798" s="14">
        <v>15</v>
      </c>
      <c r="L798" s="26">
        <v>15</v>
      </c>
      <c r="N798" s="425"/>
      <c r="P798" s="547"/>
      <c r="R798" s="547"/>
      <c r="T798" s="547"/>
    </row>
    <row r="799" spans="1:21" ht="12.75">
      <c r="A799" s="23">
        <v>634002</v>
      </c>
      <c r="B799" s="292" t="s">
        <v>465</v>
      </c>
      <c r="C799" s="55"/>
      <c r="D799" s="12"/>
      <c r="E799" s="12"/>
      <c r="F799" s="12"/>
      <c r="G799" s="284">
        <v>5</v>
      </c>
      <c r="H799" s="14">
        <v>10</v>
      </c>
      <c r="I799" s="14">
        <v>10</v>
      </c>
      <c r="J799" s="14">
        <v>0</v>
      </c>
      <c r="K799" s="14">
        <v>20</v>
      </c>
      <c r="L799" s="26">
        <v>10</v>
      </c>
      <c r="N799" s="425"/>
      <c r="P799" s="547"/>
      <c r="R799" s="547"/>
      <c r="T799" s="547"/>
      <c r="U799" s="31">
        <v>1</v>
      </c>
    </row>
    <row r="800" spans="1:20" ht="12.75">
      <c r="A800" s="23">
        <v>634003</v>
      </c>
      <c r="B800" s="292" t="s">
        <v>466</v>
      </c>
      <c r="C800" s="55"/>
      <c r="D800" s="12"/>
      <c r="E800" s="12"/>
      <c r="F800" s="12"/>
      <c r="G800" s="284">
        <v>0</v>
      </c>
      <c r="H800" s="14">
        <v>10</v>
      </c>
      <c r="I800" s="14">
        <v>10</v>
      </c>
      <c r="J800" s="14">
        <v>0</v>
      </c>
      <c r="K800" s="14">
        <v>10</v>
      </c>
      <c r="L800" s="26">
        <v>10</v>
      </c>
      <c r="N800" s="425"/>
      <c r="P800" s="547"/>
      <c r="R800" s="547"/>
      <c r="T800" s="547"/>
    </row>
    <row r="801" spans="1:20" ht="12.75">
      <c r="A801" s="11"/>
      <c r="B801" s="294"/>
      <c r="C801" s="12"/>
      <c r="D801" s="12"/>
      <c r="E801" s="12"/>
      <c r="F801" s="12"/>
      <c r="G801" s="284"/>
      <c r="H801" s="14"/>
      <c r="I801" s="14"/>
      <c r="J801" s="14"/>
      <c r="K801" s="14"/>
      <c r="L801" s="26"/>
      <c r="N801" s="425"/>
      <c r="P801" s="547"/>
      <c r="R801" s="547"/>
      <c r="T801" s="547"/>
    </row>
    <row r="802" spans="1:21" ht="12.75">
      <c r="A802" s="199">
        <v>635</v>
      </c>
      <c r="B802" s="291" t="s">
        <v>277</v>
      </c>
      <c r="C802" s="49"/>
      <c r="D802" s="12"/>
      <c r="E802" s="12"/>
      <c r="F802" s="12"/>
      <c r="G802" s="288">
        <f aca="true" t="shared" si="177" ref="G802:M802">SUM(G803:G804)</f>
        <v>19</v>
      </c>
      <c r="H802" s="198">
        <f t="shared" si="177"/>
        <v>40</v>
      </c>
      <c r="I802" s="198">
        <f t="shared" si="177"/>
        <v>40</v>
      </c>
      <c r="J802" s="198">
        <f t="shared" si="177"/>
        <v>8</v>
      </c>
      <c r="K802" s="198">
        <f t="shared" si="177"/>
        <v>45</v>
      </c>
      <c r="L802" s="50">
        <f t="shared" si="177"/>
        <v>40</v>
      </c>
      <c r="M802" s="197">
        <f t="shared" si="177"/>
        <v>17</v>
      </c>
      <c r="N802" s="433">
        <f>SUM(M802/L802)*100</f>
        <v>42.5</v>
      </c>
      <c r="O802" s="389"/>
      <c r="P802" s="433">
        <f>SUM(O802/L802)*100</f>
        <v>0</v>
      </c>
      <c r="Q802" s="197">
        <f>SUM(Q803:Q804)</f>
        <v>17</v>
      </c>
      <c r="R802" s="433">
        <f>SUM(Q802/L802)*100</f>
        <v>42.5</v>
      </c>
      <c r="S802" s="197">
        <f>SUM(S803:S804)</f>
        <v>17</v>
      </c>
      <c r="T802" s="433">
        <f>SUM(S802/L802)*100</f>
        <v>42.5</v>
      </c>
      <c r="U802" s="197">
        <f>SUM(U803:U804)</f>
        <v>17</v>
      </c>
    </row>
    <row r="803" spans="1:20" ht="12.75">
      <c r="A803" s="23">
        <v>635006</v>
      </c>
      <c r="B803" s="292" t="s">
        <v>467</v>
      </c>
      <c r="C803" s="55"/>
      <c r="D803" s="12"/>
      <c r="E803" s="12"/>
      <c r="F803" s="12"/>
      <c r="G803" s="284">
        <v>7</v>
      </c>
      <c r="H803" s="14">
        <v>10</v>
      </c>
      <c r="I803" s="14">
        <v>10</v>
      </c>
      <c r="J803" s="14">
        <v>0</v>
      </c>
      <c r="K803" s="14">
        <v>10</v>
      </c>
      <c r="L803" s="26">
        <v>10</v>
      </c>
      <c r="N803" s="425"/>
      <c r="P803" s="547"/>
      <c r="R803" s="547"/>
      <c r="T803" s="547"/>
    </row>
    <row r="804" spans="1:21" ht="12.75">
      <c r="A804" s="23">
        <v>635004</v>
      </c>
      <c r="B804" s="292" t="s">
        <v>468</v>
      </c>
      <c r="C804" s="55"/>
      <c r="D804" s="12"/>
      <c r="E804" s="12"/>
      <c r="F804" s="12"/>
      <c r="G804" s="284">
        <v>12</v>
      </c>
      <c r="H804" s="14">
        <v>30</v>
      </c>
      <c r="I804" s="14">
        <v>30</v>
      </c>
      <c r="J804" s="14">
        <v>8</v>
      </c>
      <c r="K804" s="14">
        <v>35</v>
      </c>
      <c r="L804" s="26">
        <v>30</v>
      </c>
      <c r="M804" s="31">
        <v>17</v>
      </c>
      <c r="N804" s="430">
        <f>SUM(M804/L804)*100</f>
        <v>56.666666666666664</v>
      </c>
      <c r="P804" s="547"/>
      <c r="Q804" s="31">
        <v>17</v>
      </c>
      <c r="R804" s="430">
        <f>SUM(Q804/L804)*100</f>
        <v>56.666666666666664</v>
      </c>
      <c r="S804" s="31">
        <v>17</v>
      </c>
      <c r="T804" s="430">
        <f>SUM(S804/L804)*100</f>
        <v>56.666666666666664</v>
      </c>
      <c r="U804" s="31">
        <v>17</v>
      </c>
    </row>
    <row r="805" spans="1:20" ht="12.75">
      <c r="A805" s="93"/>
      <c r="B805" s="293"/>
      <c r="C805" s="55"/>
      <c r="D805" s="12"/>
      <c r="E805" s="12"/>
      <c r="F805" s="12"/>
      <c r="G805" s="284"/>
      <c r="H805" s="14"/>
      <c r="I805" s="14"/>
      <c r="J805" s="14"/>
      <c r="K805" s="14"/>
      <c r="L805" s="26"/>
      <c r="N805" s="425"/>
      <c r="P805" s="547"/>
      <c r="R805" s="547"/>
      <c r="T805" s="547"/>
    </row>
    <row r="806" spans="1:21" ht="12.75">
      <c r="A806" s="199">
        <v>637</v>
      </c>
      <c r="B806" s="291" t="s">
        <v>288</v>
      </c>
      <c r="C806" s="49"/>
      <c r="D806" s="12"/>
      <c r="E806" s="12"/>
      <c r="F806" s="12"/>
      <c r="G806" s="288">
        <f aca="true" t="shared" si="178" ref="G806:M806">SUM(G807:G811)</f>
        <v>127</v>
      </c>
      <c r="H806" s="198">
        <f t="shared" si="178"/>
        <v>135</v>
      </c>
      <c r="I806" s="198">
        <f t="shared" si="178"/>
        <v>135</v>
      </c>
      <c r="J806" s="198">
        <f t="shared" si="178"/>
        <v>85</v>
      </c>
      <c r="K806" s="198">
        <f t="shared" si="178"/>
        <v>140</v>
      </c>
      <c r="L806" s="50">
        <f>SUM(L807+L808+L810+L811)</f>
        <v>140</v>
      </c>
      <c r="M806" s="197">
        <f t="shared" si="178"/>
        <v>0</v>
      </c>
      <c r="N806" s="433">
        <f>SUM(M806/L806)*100</f>
        <v>0</v>
      </c>
      <c r="O806" s="197">
        <f>SUM(O807+O808+O810)</f>
        <v>60</v>
      </c>
      <c r="P806" s="433">
        <f>SUM(O806/L806)*100</f>
        <v>42.857142857142854</v>
      </c>
      <c r="Q806" s="197">
        <f>SUM(Q807+Q808+Q810)</f>
        <v>69</v>
      </c>
      <c r="R806" s="433">
        <f>SUM(Q806/L806)*100</f>
        <v>49.28571428571429</v>
      </c>
      <c r="S806" s="197">
        <f>SUM(S807+S808+S810)</f>
        <v>69</v>
      </c>
      <c r="T806" s="433">
        <f>SUM(S806/L806)*100</f>
        <v>49.28571428571429</v>
      </c>
      <c r="U806" s="197">
        <f>SUM(U807+U808+U810)</f>
        <v>70</v>
      </c>
    </row>
    <row r="807" spans="1:20" ht="12.75">
      <c r="A807" s="23">
        <v>637002</v>
      </c>
      <c r="B807" s="292" t="s">
        <v>469</v>
      </c>
      <c r="C807" s="55"/>
      <c r="D807" s="12"/>
      <c r="E807" s="12"/>
      <c r="F807" s="12"/>
      <c r="G807" s="284">
        <v>5</v>
      </c>
      <c r="H807" s="14">
        <v>5</v>
      </c>
      <c r="I807" s="14">
        <v>5</v>
      </c>
      <c r="J807" s="14">
        <v>0</v>
      </c>
      <c r="K807" s="14">
        <v>5</v>
      </c>
      <c r="L807" s="26">
        <v>5</v>
      </c>
      <c r="N807" s="425"/>
      <c r="P807" s="547"/>
      <c r="R807" s="547"/>
      <c r="S807" s="31">
        <v>0</v>
      </c>
      <c r="T807" s="547"/>
    </row>
    <row r="808" spans="1:21" ht="12.75">
      <c r="A808" s="23">
        <v>637004</v>
      </c>
      <c r="B808" s="292" t="s">
        <v>470</v>
      </c>
      <c r="C808" s="55"/>
      <c r="D808" s="12"/>
      <c r="E808" s="12"/>
      <c r="F808" s="12"/>
      <c r="G808" s="284">
        <v>60</v>
      </c>
      <c r="H808" s="14">
        <v>70</v>
      </c>
      <c r="I808" s="14">
        <v>70</v>
      </c>
      <c r="J808" s="14">
        <v>70</v>
      </c>
      <c r="K808" s="14">
        <v>70</v>
      </c>
      <c r="L808" s="26">
        <v>70</v>
      </c>
      <c r="N808" s="425"/>
      <c r="O808" s="31">
        <v>60</v>
      </c>
      <c r="P808" s="430">
        <f>SUM(O808/L808)*100</f>
        <v>85.71428571428571</v>
      </c>
      <c r="Q808" s="31">
        <v>69</v>
      </c>
      <c r="R808" s="430">
        <f>SUM(Q808/L808)*100</f>
        <v>98.57142857142858</v>
      </c>
      <c r="S808" s="31">
        <v>69</v>
      </c>
      <c r="T808" s="430">
        <f>SUM(S808/L808)*100</f>
        <v>98.57142857142858</v>
      </c>
      <c r="U808" s="31">
        <v>69</v>
      </c>
    </row>
    <row r="809" spans="1:22" s="627" customFormat="1" ht="12">
      <c r="A809" s="205"/>
      <c r="B809" s="593" t="s">
        <v>471</v>
      </c>
      <c r="C809" s="203"/>
      <c r="D809" s="203"/>
      <c r="E809" s="203"/>
      <c r="F809" s="203"/>
      <c r="G809" s="641"/>
      <c r="H809" s="204"/>
      <c r="I809" s="204"/>
      <c r="J809" s="204"/>
      <c r="K809" s="204"/>
      <c r="L809" s="94">
        <v>70</v>
      </c>
      <c r="M809" s="562"/>
      <c r="N809" s="563"/>
      <c r="O809" s="562">
        <v>60</v>
      </c>
      <c r="P809" s="565"/>
      <c r="Q809" s="562">
        <v>69</v>
      </c>
      <c r="R809" s="565"/>
      <c r="S809" s="562">
        <v>69</v>
      </c>
      <c r="T809" s="563">
        <f>SUM(S809/L809)*100</f>
        <v>98.57142857142858</v>
      </c>
      <c r="U809" s="562">
        <v>69</v>
      </c>
      <c r="V809" s="562"/>
    </row>
    <row r="810" spans="1:21" ht="12.75">
      <c r="A810" s="23">
        <v>637005</v>
      </c>
      <c r="B810" s="292" t="s">
        <v>472</v>
      </c>
      <c r="C810" s="55"/>
      <c r="D810" s="12"/>
      <c r="E810" s="12"/>
      <c r="F810" s="12"/>
      <c r="G810" s="284">
        <v>18</v>
      </c>
      <c r="H810" s="14">
        <v>20</v>
      </c>
      <c r="I810" s="14">
        <v>20</v>
      </c>
      <c r="J810" s="14">
        <v>10</v>
      </c>
      <c r="K810" s="14">
        <v>25</v>
      </c>
      <c r="L810" s="26">
        <v>25</v>
      </c>
      <c r="N810" s="425"/>
      <c r="P810" s="547"/>
      <c r="R810" s="547"/>
      <c r="S810" s="31">
        <v>0</v>
      </c>
      <c r="T810" s="547"/>
      <c r="U810" s="31">
        <v>1</v>
      </c>
    </row>
    <row r="811" spans="1:20" ht="12.75">
      <c r="A811" s="23"/>
      <c r="B811" s="292" t="s">
        <v>449</v>
      </c>
      <c r="C811" s="55"/>
      <c r="D811" s="12"/>
      <c r="E811" s="12"/>
      <c r="F811" s="12"/>
      <c r="G811" s="284">
        <v>44</v>
      </c>
      <c r="H811" s="14">
        <v>40</v>
      </c>
      <c r="I811" s="14">
        <v>40</v>
      </c>
      <c r="J811" s="14">
        <v>5</v>
      </c>
      <c r="K811" s="14">
        <v>40</v>
      </c>
      <c r="L811" s="26">
        <v>40</v>
      </c>
      <c r="N811" s="425"/>
      <c r="P811" s="547"/>
      <c r="R811" s="547"/>
      <c r="S811" s="31">
        <v>0</v>
      </c>
      <c r="T811" s="547"/>
    </row>
    <row r="812" spans="1:20" ht="13.5" thickBot="1">
      <c r="A812" s="11"/>
      <c r="B812" s="293"/>
      <c r="C812" s="55"/>
      <c r="D812" s="12"/>
      <c r="E812" s="12"/>
      <c r="F812" s="12"/>
      <c r="G812" s="284"/>
      <c r="H812" s="14"/>
      <c r="I812" s="14"/>
      <c r="J812" s="14"/>
      <c r="K812" s="14"/>
      <c r="L812" s="26"/>
      <c r="N812" s="425"/>
      <c r="P812" s="547"/>
      <c r="R812" s="547"/>
      <c r="T812" s="547"/>
    </row>
    <row r="813" spans="1:20" ht="12.7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19"/>
      <c r="M813" s="419"/>
      <c r="N813" s="490"/>
      <c r="O813" s="419"/>
      <c r="P813" s="4"/>
      <c r="Q813" s="419"/>
      <c r="R813" s="4"/>
      <c r="S813" s="419"/>
      <c r="T813" s="4"/>
    </row>
    <row r="814" ht="12.75">
      <c r="A814" t="s">
        <v>866</v>
      </c>
    </row>
    <row r="815" ht="12.75">
      <c r="A815" t="s">
        <v>867</v>
      </c>
    </row>
    <row r="816" ht="12.75">
      <c r="A816" t="s">
        <v>868</v>
      </c>
    </row>
    <row r="818" spans="1:11" ht="15.75">
      <c r="A818" s="1" t="s">
        <v>473</v>
      </c>
      <c r="B818" s="1"/>
      <c r="C818" s="1"/>
      <c r="G818" s="162"/>
      <c r="I818" s="12"/>
      <c r="J818" s="12"/>
      <c r="K818" s="12"/>
    </row>
    <row r="819" spans="7:11" ht="13.5" thickBot="1">
      <c r="G819" s="162"/>
      <c r="I819" s="12"/>
      <c r="J819" s="12"/>
      <c r="K819" s="12"/>
    </row>
    <row r="820" spans="1:22" ht="13.5" thickBot="1">
      <c r="A820" s="177" t="s">
        <v>44</v>
      </c>
      <c r="B820" s="178"/>
      <c r="C820" s="178"/>
      <c r="D820" s="179"/>
      <c r="E820" s="179"/>
      <c r="F820" s="179"/>
      <c r="G820" s="15" t="s">
        <v>23</v>
      </c>
      <c r="H820" s="136"/>
      <c r="I820" s="137" t="s">
        <v>395</v>
      </c>
      <c r="J820" s="216"/>
      <c r="K820" s="10" t="s">
        <v>25</v>
      </c>
      <c r="L820" s="238" t="s">
        <v>645</v>
      </c>
      <c r="M820" s="403" t="s">
        <v>296</v>
      </c>
      <c r="N820" s="426" t="s">
        <v>684</v>
      </c>
      <c r="O820" s="403" t="s">
        <v>296</v>
      </c>
      <c r="P820" s="426" t="s">
        <v>683</v>
      </c>
      <c r="Q820" s="415" t="s">
        <v>296</v>
      </c>
      <c r="R820" s="426" t="s">
        <v>681</v>
      </c>
      <c r="S820" s="403" t="s">
        <v>296</v>
      </c>
      <c r="T820" s="421" t="s">
        <v>681</v>
      </c>
      <c r="U820" s="403" t="s">
        <v>296</v>
      </c>
      <c r="V820" s="30" t="s">
        <v>681</v>
      </c>
    </row>
    <row r="821" spans="1:22" ht="16.5" thickTop="1">
      <c r="A821" s="239" t="s">
        <v>173</v>
      </c>
      <c r="B821" s="181" t="s">
        <v>174</v>
      </c>
      <c r="C821" s="259"/>
      <c r="D821" s="12"/>
      <c r="E821" s="12"/>
      <c r="F821" s="12"/>
      <c r="G821" s="11" t="s">
        <v>45</v>
      </c>
      <c r="H821" s="32" t="s">
        <v>27</v>
      </c>
      <c r="I821" s="6" t="s">
        <v>92</v>
      </c>
      <c r="J821" s="108" t="s">
        <v>29</v>
      </c>
      <c r="K821" s="33" t="s">
        <v>46</v>
      </c>
      <c r="L821" s="208"/>
      <c r="M821" s="25" t="s">
        <v>297</v>
      </c>
      <c r="N821" s="425"/>
      <c r="O821" s="25" t="s">
        <v>750</v>
      </c>
      <c r="P821" s="547"/>
      <c r="Q821" s="416" t="s">
        <v>896</v>
      </c>
      <c r="R821" s="547"/>
      <c r="S821" s="25" t="s">
        <v>957</v>
      </c>
      <c r="T821" s="422"/>
      <c r="U821" s="25" t="s">
        <v>252</v>
      </c>
      <c r="V821" s="26"/>
    </row>
    <row r="822" spans="1:22" ht="13.5" thickBot="1">
      <c r="A822" s="183"/>
      <c r="B822" s="184"/>
      <c r="C822" s="185"/>
      <c r="D822" s="37"/>
      <c r="E822" s="37"/>
      <c r="F822" s="37"/>
      <c r="G822" s="83"/>
      <c r="H822" s="84">
        <v>38335</v>
      </c>
      <c r="I822" s="148">
        <v>38587</v>
      </c>
      <c r="J822" s="110" t="s">
        <v>31</v>
      </c>
      <c r="K822" s="33" t="s">
        <v>32</v>
      </c>
      <c r="L822" s="242"/>
      <c r="M822" s="404"/>
      <c r="N822" s="429"/>
      <c r="O822" s="404"/>
      <c r="P822" s="548"/>
      <c r="Q822" s="411"/>
      <c r="R822" s="548"/>
      <c r="S822" s="404"/>
      <c r="T822" s="423"/>
      <c r="U822" s="404"/>
      <c r="V822" s="27"/>
    </row>
    <row r="823" spans="1:20" ht="13.5" thickBot="1">
      <c r="A823" s="186" t="s">
        <v>47</v>
      </c>
      <c r="B823" s="187"/>
      <c r="C823" s="39"/>
      <c r="D823" s="188" t="s">
        <v>48</v>
      </c>
      <c r="E823" s="19"/>
      <c r="F823" s="19"/>
      <c r="G823" s="152">
        <v>1</v>
      </c>
      <c r="H823" s="41">
        <v>2</v>
      </c>
      <c r="I823" s="188">
        <v>3</v>
      </c>
      <c r="J823" s="22">
        <v>4</v>
      </c>
      <c r="K823" s="40">
        <v>1</v>
      </c>
      <c r="L823" s="599">
        <v>1</v>
      </c>
      <c r="M823" s="409"/>
      <c r="N823" s="424"/>
      <c r="P823" s="547"/>
      <c r="R823" s="556"/>
      <c r="T823" s="556"/>
    </row>
    <row r="824" spans="1:22" s="28" customFormat="1" ht="15">
      <c r="A824" s="445"/>
      <c r="B824" s="445" t="s">
        <v>228</v>
      </c>
      <c r="C824" s="372"/>
      <c r="D824" s="373"/>
      <c r="E824" s="373"/>
      <c r="F824" s="446"/>
      <c r="G824" s="453">
        <f>G826+G828+G830+G837</f>
        <v>727</v>
      </c>
      <c r="H824" s="390">
        <f aca="true" t="shared" si="179" ref="H824:M824">H826+H828+H830+H837+H842</f>
        <v>845</v>
      </c>
      <c r="I824" s="391">
        <f t="shared" si="179"/>
        <v>1239</v>
      </c>
      <c r="J824" s="390">
        <f t="shared" si="179"/>
        <v>481</v>
      </c>
      <c r="K824" s="392">
        <f t="shared" si="179"/>
        <v>1642</v>
      </c>
      <c r="L824" s="390">
        <f t="shared" si="179"/>
        <v>1654</v>
      </c>
      <c r="M824" s="392">
        <f t="shared" si="179"/>
        <v>144</v>
      </c>
      <c r="N824" s="440">
        <f>SUM(M824/L824)*100</f>
        <v>8.706166868198308</v>
      </c>
      <c r="O824" s="392">
        <f>O826+O828+O830+O837+O842</f>
        <v>237</v>
      </c>
      <c r="P824" s="567">
        <f>SUM(O824/L824)*100</f>
        <v>14.328899637243047</v>
      </c>
      <c r="Q824" s="392">
        <f>Q826+Q828+Q830+Q837+Q842</f>
        <v>410</v>
      </c>
      <c r="R824" s="567">
        <f>SUM(Q824/L824)*100</f>
        <v>24.78839177750907</v>
      </c>
      <c r="S824" s="392">
        <f>S826+S828+S830+S837+S842</f>
        <v>447</v>
      </c>
      <c r="T824" s="567">
        <f>SUM(S824/L824)*100</f>
        <v>27.02539298669891</v>
      </c>
      <c r="U824" s="392">
        <f>U826+U828+U830+U837+U842</f>
        <v>535</v>
      </c>
      <c r="V824" s="783"/>
    </row>
    <row r="825" spans="1:20" ht="12.75">
      <c r="A825" s="11"/>
      <c r="B825" s="11"/>
      <c r="C825" s="12"/>
      <c r="D825" s="12"/>
      <c r="E825" s="12"/>
      <c r="F825" s="13"/>
      <c r="G825" s="164"/>
      <c r="H825" s="26"/>
      <c r="I825" s="52"/>
      <c r="J825" s="26"/>
      <c r="K825" s="52"/>
      <c r="L825" s="26"/>
      <c r="N825" s="425"/>
      <c r="P825" s="547"/>
      <c r="R825" s="547"/>
      <c r="T825" s="547"/>
    </row>
    <row r="826" spans="1:22" ht="12.75">
      <c r="A826" s="199">
        <v>610</v>
      </c>
      <c r="B826" s="199" t="s">
        <v>474</v>
      </c>
      <c r="C826" s="49"/>
      <c r="D826" s="12"/>
      <c r="E826" s="12"/>
      <c r="F826" s="13"/>
      <c r="G826" s="297">
        <v>443</v>
      </c>
      <c r="H826" s="50">
        <v>500</v>
      </c>
      <c r="I826" s="51">
        <v>800</v>
      </c>
      <c r="J826" s="50">
        <v>257</v>
      </c>
      <c r="K826" s="51">
        <v>1000</v>
      </c>
      <c r="L826" s="50">
        <v>1000</v>
      </c>
      <c r="M826" s="399">
        <v>95</v>
      </c>
      <c r="N826" s="433">
        <f>SUM(M826/L826)*100</f>
        <v>9.5</v>
      </c>
      <c r="O826" s="399">
        <v>146</v>
      </c>
      <c r="P826" s="433">
        <f>SUM(O826/L826)*100</f>
        <v>14.6</v>
      </c>
      <c r="Q826" s="399">
        <v>272</v>
      </c>
      <c r="R826" s="433">
        <f>SUM(Q826/L826)*100</f>
        <v>27.200000000000003</v>
      </c>
      <c r="S826" s="399">
        <v>272</v>
      </c>
      <c r="T826" s="433">
        <f>SUM(S826/L826)*100</f>
        <v>27.200000000000003</v>
      </c>
      <c r="U826" s="399">
        <v>336</v>
      </c>
      <c r="V826" s="399"/>
    </row>
    <row r="827" spans="1:20" ht="12.75">
      <c r="A827" s="11"/>
      <c r="B827" s="11"/>
      <c r="C827" s="12"/>
      <c r="D827" s="12"/>
      <c r="E827" s="12"/>
      <c r="F827" s="13"/>
      <c r="G827" s="297"/>
      <c r="H827" s="50"/>
      <c r="I827" s="51"/>
      <c r="J827" s="50"/>
      <c r="K827" s="51"/>
      <c r="L827" s="50"/>
      <c r="M827" s="399"/>
      <c r="N827" s="425"/>
      <c r="O827" s="399"/>
      <c r="P827" s="547"/>
      <c r="R827" s="547"/>
      <c r="T827" s="547"/>
    </row>
    <row r="828" spans="1:21" ht="12.75">
      <c r="A828" s="199">
        <v>620</v>
      </c>
      <c r="B828" s="199" t="s">
        <v>475</v>
      </c>
      <c r="C828" s="49"/>
      <c r="D828" s="12"/>
      <c r="E828" s="12"/>
      <c r="F828" s="13"/>
      <c r="G828" s="297">
        <v>147</v>
      </c>
      <c r="H828" s="50">
        <v>175</v>
      </c>
      <c r="I828" s="51">
        <v>282</v>
      </c>
      <c r="J828" s="50">
        <v>90</v>
      </c>
      <c r="K828" s="51">
        <v>350</v>
      </c>
      <c r="L828" s="50">
        <v>350</v>
      </c>
      <c r="M828" s="399">
        <v>33</v>
      </c>
      <c r="N828" s="433">
        <f>SUM(M828/L828)*100</f>
        <v>9.428571428571429</v>
      </c>
      <c r="O828" s="399">
        <v>51</v>
      </c>
      <c r="P828" s="433">
        <f>SUM(O828/L828)*100</f>
        <v>14.571428571428571</v>
      </c>
      <c r="Q828" s="399">
        <v>95</v>
      </c>
      <c r="R828" s="433">
        <f>SUM(Q828/L828)*100</f>
        <v>27.142857142857142</v>
      </c>
      <c r="S828" s="399">
        <v>95</v>
      </c>
      <c r="T828" s="433">
        <f>SUM(S828/L828)*100</f>
        <v>27.142857142857142</v>
      </c>
      <c r="U828" s="399">
        <v>118</v>
      </c>
    </row>
    <row r="829" spans="1:20" ht="12.75">
      <c r="A829" s="11"/>
      <c r="B829" s="11"/>
      <c r="C829" s="12"/>
      <c r="D829" s="12"/>
      <c r="E829" s="12"/>
      <c r="F829" s="13"/>
      <c r="G829" s="297"/>
      <c r="H829" s="50"/>
      <c r="I829" s="51"/>
      <c r="J829" s="50"/>
      <c r="K829" s="51"/>
      <c r="L829" s="50"/>
      <c r="M829" s="121"/>
      <c r="N829" s="425"/>
      <c r="P829" s="547"/>
      <c r="R829" s="547"/>
      <c r="T829" s="547"/>
    </row>
    <row r="830" spans="1:21" ht="12.75">
      <c r="A830" s="199">
        <v>633</v>
      </c>
      <c r="B830" s="199" t="s">
        <v>476</v>
      </c>
      <c r="C830" s="49"/>
      <c r="D830" s="12"/>
      <c r="E830" s="12"/>
      <c r="F830" s="13"/>
      <c r="G830" s="297">
        <f>SUM(G831:G835)-G833</f>
        <v>80</v>
      </c>
      <c r="H830" s="298">
        <f>SUM(H831:H835)-H833</f>
        <v>50</v>
      </c>
      <c r="I830" s="297">
        <f>SUM(I831:I835)-I833</f>
        <v>52</v>
      </c>
      <c r="J830" s="298">
        <f>SUM(J831:J835)-J833</f>
        <v>75</v>
      </c>
      <c r="K830" s="299">
        <f>SUM(K831:K835)-K833</f>
        <v>150</v>
      </c>
      <c r="L830" s="298">
        <f>SUM(L831+L833+L835)</f>
        <v>150</v>
      </c>
      <c r="M830" s="299">
        <f>SUM(M831+M833+M835)</f>
        <v>6</v>
      </c>
      <c r="N830" s="433">
        <f>SUM(M830/L830)*100</f>
        <v>4</v>
      </c>
      <c r="O830" s="299">
        <f>SUM(O831+O833+O835)</f>
        <v>18</v>
      </c>
      <c r="P830" s="433">
        <f>SUM(O830/L830)*100</f>
        <v>12</v>
      </c>
      <c r="Q830" s="299">
        <f>SUM(Q831+Q833+Q835)</f>
        <v>18</v>
      </c>
      <c r="R830" s="433">
        <f>SUM(Q830/L830)*100</f>
        <v>12</v>
      </c>
      <c r="S830" s="299">
        <f>SUM(S831+S833+S835)</f>
        <v>18</v>
      </c>
      <c r="T830" s="433">
        <f>SUM(S830/L830)*100</f>
        <v>12</v>
      </c>
      <c r="U830" s="299">
        <f>SUM(U831+U833+U835)</f>
        <v>19</v>
      </c>
    </row>
    <row r="831" spans="1:21" ht="12.75">
      <c r="A831" s="23">
        <v>633004</v>
      </c>
      <c r="B831" s="23" t="s">
        <v>477</v>
      </c>
      <c r="C831" s="24"/>
      <c r="D831" s="24"/>
      <c r="E831" s="24"/>
      <c r="F831" s="58"/>
      <c r="G831" s="159">
        <v>0</v>
      </c>
      <c r="H831" s="92">
        <v>0</v>
      </c>
      <c r="I831" s="91">
        <v>0</v>
      </c>
      <c r="J831" s="92">
        <v>42</v>
      </c>
      <c r="K831" s="91">
        <v>100</v>
      </c>
      <c r="L831" s="92">
        <v>100</v>
      </c>
      <c r="M831" s="389"/>
      <c r="N831" s="430"/>
      <c r="O831" s="389"/>
      <c r="P831" s="549"/>
      <c r="Q831" s="389"/>
      <c r="R831" s="549"/>
      <c r="T831" s="547"/>
      <c r="U831" s="31">
        <v>1</v>
      </c>
    </row>
    <row r="832" spans="1:22" s="627" customFormat="1" ht="12">
      <c r="A832" s="205"/>
      <c r="B832" s="205" t="s">
        <v>478</v>
      </c>
      <c r="C832" s="203"/>
      <c r="D832" s="203"/>
      <c r="E832" s="203"/>
      <c r="F832" s="632"/>
      <c r="G832" s="642"/>
      <c r="H832" s="94"/>
      <c r="I832" s="201"/>
      <c r="J832" s="94"/>
      <c r="K832" s="201"/>
      <c r="L832" s="94"/>
      <c r="M832" s="562"/>
      <c r="N832" s="563"/>
      <c r="O832" s="562"/>
      <c r="P832" s="565"/>
      <c r="Q832" s="562"/>
      <c r="R832" s="565"/>
      <c r="S832" s="562"/>
      <c r="T832" s="565"/>
      <c r="U832" s="562"/>
      <c r="V832" s="562"/>
    </row>
    <row r="833" spans="1:21" ht="12.75">
      <c r="A833" s="23">
        <v>633006</v>
      </c>
      <c r="B833" s="23" t="s">
        <v>433</v>
      </c>
      <c r="C833" s="49"/>
      <c r="D833" s="12"/>
      <c r="E833" s="12"/>
      <c r="F833" s="13"/>
      <c r="G833" s="164">
        <f aca="true" t="shared" si="180" ref="G833:L833">SUM(G834:G834)</f>
        <v>0</v>
      </c>
      <c r="H833" s="92">
        <f t="shared" si="180"/>
        <v>0</v>
      </c>
      <c r="I833" s="91">
        <f t="shared" si="180"/>
        <v>2</v>
      </c>
      <c r="J833" s="92">
        <f t="shared" si="180"/>
        <v>0</v>
      </c>
      <c r="K833" s="206">
        <f t="shared" si="180"/>
        <v>0</v>
      </c>
      <c r="L833" s="92">
        <f t="shared" si="180"/>
        <v>0</v>
      </c>
      <c r="M833" s="31">
        <v>5</v>
      </c>
      <c r="N833" s="425"/>
      <c r="O833" s="31">
        <v>5</v>
      </c>
      <c r="P833" s="547"/>
      <c r="Q833" s="31">
        <v>5</v>
      </c>
      <c r="R833" s="547"/>
      <c r="S833" s="31">
        <v>5</v>
      </c>
      <c r="T833" s="547"/>
      <c r="U833" s="31">
        <v>5</v>
      </c>
    </row>
    <row r="834" spans="1:22" s="627" customFormat="1" ht="12">
      <c r="A834" s="205"/>
      <c r="B834" s="205" t="s">
        <v>257</v>
      </c>
      <c r="C834" s="203"/>
      <c r="D834" s="203"/>
      <c r="E834" s="203"/>
      <c r="F834" s="632"/>
      <c r="G834" s="642">
        <v>0</v>
      </c>
      <c r="H834" s="94">
        <v>0</v>
      </c>
      <c r="I834" s="201">
        <v>2</v>
      </c>
      <c r="J834" s="94">
        <v>0</v>
      </c>
      <c r="K834" s="201">
        <v>0</v>
      </c>
      <c r="L834" s="94"/>
      <c r="M834" s="562"/>
      <c r="N834" s="563"/>
      <c r="O834" s="562">
        <v>5</v>
      </c>
      <c r="P834" s="565"/>
      <c r="Q834" s="562">
        <v>5</v>
      </c>
      <c r="R834" s="565"/>
      <c r="S834" s="562">
        <v>5</v>
      </c>
      <c r="T834" s="565"/>
      <c r="U834" s="562">
        <v>5</v>
      </c>
      <c r="V834" s="562"/>
    </row>
    <row r="835" spans="1:21" ht="12.75">
      <c r="A835" s="23">
        <v>633010</v>
      </c>
      <c r="B835" s="23" t="s">
        <v>479</v>
      </c>
      <c r="C835" s="55"/>
      <c r="D835" s="12"/>
      <c r="E835" s="12"/>
      <c r="F835" s="13"/>
      <c r="G835" s="164">
        <v>80</v>
      </c>
      <c r="H835" s="26">
        <v>50</v>
      </c>
      <c r="I835" s="52">
        <v>50</v>
      </c>
      <c r="J835" s="26">
        <v>33</v>
      </c>
      <c r="K835" s="52">
        <v>50</v>
      </c>
      <c r="L835" s="26">
        <v>50</v>
      </c>
      <c r="M835" s="31">
        <v>1</v>
      </c>
      <c r="N835" s="430">
        <f>SUM(M835/L835)*100</f>
        <v>2</v>
      </c>
      <c r="O835" s="31">
        <v>13</v>
      </c>
      <c r="P835" s="430">
        <f>SUM(O835/L835)*100</f>
        <v>26</v>
      </c>
      <c r="Q835" s="31">
        <v>13</v>
      </c>
      <c r="R835" s="430">
        <f>SUM(Q835/L835)*100</f>
        <v>26</v>
      </c>
      <c r="S835" s="31">
        <v>13</v>
      </c>
      <c r="T835" s="430">
        <f>SUM(S835/L835)*100</f>
        <v>26</v>
      </c>
      <c r="U835" s="31">
        <v>13</v>
      </c>
    </row>
    <row r="836" spans="1:20" ht="12.75">
      <c r="A836" s="93"/>
      <c r="B836" s="11"/>
      <c r="C836" s="55"/>
      <c r="D836" s="12"/>
      <c r="E836" s="12"/>
      <c r="F836" s="13"/>
      <c r="G836" s="164"/>
      <c r="H836" s="26"/>
      <c r="I836" s="52"/>
      <c r="J836" s="26"/>
      <c r="K836" s="52"/>
      <c r="L836" s="26"/>
      <c r="N836" s="425"/>
      <c r="P836" s="547"/>
      <c r="R836" s="547"/>
      <c r="T836" s="547"/>
    </row>
    <row r="837" spans="1:21" ht="12.75">
      <c r="A837" s="199">
        <v>637</v>
      </c>
      <c r="B837" s="300" t="s">
        <v>480</v>
      </c>
      <c r="C837" s="49"/>
      <c r="D837" s="12"/>
      <c r="E837" s="12"/>
      <c r="F837" s="13"/>
      <c r="G837" s="297">
        <f aca="true" t="shared" si="181" ref="G837:L837">SUM(G838:G839)</f>
        <v>57</v>
      </c>
      <c r="H837" s="50">
        <f t="shared" si="181"/>
        <v>120</v>
      </c>
      <c r="I837" s="51">
        <f t="shared" si="181"/>
        <v>105</v>
      </c>
      <c r="J837" s="50">
        <f t="shared" si="181"/>
        <v>58</v>
      </c>
      <c r="K837" s="197">
        <f t="shared" si="181"/>
        <v>135</v>
      </c>
      <c r="L837" s="50">
        <f t="shared" si="181"/>
        <v>147</v>
      </c>
      <c r="M837" s="197">
        <f>SUM(M838:M840)</f>
        <v>10</v>
      </c>
      <c r="N837" s="433">
        <f>SUM(M837/L837)*100</f>
        <v>6.802721088435375</v>
      </c>
      <c r="O837" s="197">
        <f>SUM(O838:O840)</f>
        <v>22</v>
      </c>
      <c r="P837" s="433">
        <f>SUM(O837/L837)*100</f>
        <v>14.965986394557824</v>
      </c>
      <c r="Q837" s="197">
        <f>SUM(Q838:Q840)</f>
        <v>25</v>
      </c>
      <c r="R837" s="433">
        <f>SUM(Q837/L837)*100</f>
        <v>17.006802721088434</v>
      </c>
      <c r="S837" s="197">
        <f>SUM(S838:S840)</f>
        <v>62</v>
      </c>
      <c r="T837" s="433">
        <f>SUM(S837/L837)*100</f>
        <v>42.17687074829932</v>
      </c>
      <c r="U837" s="197">
        <f>SUM(U838:U840)</f>
        <v>62</v>
      </c>
    </row>
    <row r="838" spans="1:21" ht="12.75">
      <c r="A838" s="23">
        <v>637014</v>
      </c>
      <c r="B838" s="23" t="s">
        <v>373</v>
      </c>
      <c r="C838" s="55"/>
      <c r="D838" s="12"/>
      <c r="E838" s="12"/>
      <c r="F838" s="13"/>
      <c r="G838" s="164">
        <v>0</v>
      </c>
      <c r="H838" s="26">
        <v>90</v>
      </c>
      <c r="I838" s="52">
        <v>90</v>
      </c>
      <c r="J838" s="26">
        <v>44</v>
      </c>
      <c r="K838" s="52">
        <v>125</v>
      </c>
      <c r="L838" s="26">
        <v>137</v>
      </c>
      <c r="N838" s="425"/>
      <c r="P838" s="547"/>
      <c r="R838" s="547"/>
      <c r="S838" s="31">
        <v>37</v>
      </c>
      <c r="T838" s="430">
        <f>SUM(S838/L838)*100</f>
        <v>27.00729927007299</v>
      </c>
      <c r="U838" s="31">
        <v>37</v>
      </c>
    </row>
    <row r="839" spans="1:21" ht="12.75">
      <c r="A839" s="23">
        <v>637015</v>
      </c>
      <c r="B839" s="23" t="s">
        <v>374</v>
      </c>
      <c r="C839" s="55"/>
      <c r="D839" s="12"/>
      <c r="E839" s="12"/>
      <c r="F839" s="13"/>
      <c r="G839" s="164">
        <v>57</v>
      </c>
      <c r="H839" s="26">
        <v>30</v>
      </c>
      <c r="I839" s="52">
        <v>15</v>
      </c>
      <c r="J839" s="26">
        <v>14</v>
      </c>
      <c r="K839" s="52">
        <v>10</v>
      </c>
      <c r="L839" s="26">
        <v>10</v>
      </c>
      <c r="M839" s="31">
        <v>9</v>
      </c>
      <c r="N839" s="430">
        <f>SUM(M839/L839)*100</f>
        <v>90</v>
      </c>
      <c r="O839" s="31">
        <v>21</v>
      </c>
      <c r="P839" s="430">
        <f>SUM(O839/L839)*100</f>
        <v>210</v>
      </c>
      <c r="Q839" s="31">
        <v>21</v>
      </c>
      <c r="R839" s="430">
        <f>SUM(Q839/L839)*100</f>
        <v>210</v>
      </c>
      <c r="S839" s="31">
        <v>21</v>
      </c>
      <c r="T839" s="430">
        <f>SUM(S839/L839)*100</f>
        <v>210</v>
      </c>
      <c r="U839" s="31">
        <v>21</v>
      </c>
    </row>
    <row r="840" spans="1:21" ht="12.75">
      <c r="A840" s="11">
        <v>637016</v>
      </c>
      <c r="B840" s="11" t="s">
        <v>375</v>
      </c>
      <c r="C840" s="12"/>
      <c r="D840" s="12"/>
      <c r="E840" s="12"/>
      <c r="F840" s="13"/>
      <c r="G840" s="164"/>
      <c r="H840" s="26"/>
      <c r="I840" s="52"/>
      <c r="J840" s="26"/>
      <c r="K840" s="52"/>
      <c r="L840" s="26">
        <v>0</v>
      </c>
      <c r="M840" s="31">
        <v>1</v>
      </c>
      <c r="N840" s="425"/>
      <c r="O840" s="31">
        <v>1</v>
      </c>
      <c r="P840" s="547"/>
      <c r="Q840" s="31">
        <v>4</v>
      </c>
      <c r="R840" s="547"/>
      <c r="S840" s="31">
        <v>4</v>
      </c>
      <c r="T840" s="547"/>
      <c r="U840" s="31">
        <v>4</v>
      </c>
    </row>
    <row r="841" spans="1:20" ht="12.75">
      <c r="A841" s="11"/>
      <c r="B841" s="11"/>
      <c r="C841" s="12"/>
      <c r="D841" s="12"/>
      <c r="E841" s="12"/>
      <c r="F841" s="13"/>
      <c r="G841" s="164"/>
      <c r="H841" s="26"/>
      <c r="I841" s="52"/>
      <c r="J841" s="26"/>
      <c r="K841" s="52"/>
      <c r="L841" s="26"/>
      <c r="N841" s="425"/>
      <c r="P841" s="547"/>
      <c r="R841" s="547"/>
      <c r="T841" s="547"/>
    </row>
    <row r="842" spans="1:20" ht="12.75">
      <c r="A842" s="199">
        <v>642</v>
      </c>
      <c r="B842" s="300" t="s">
        <v>481</v>
      </c>
      <c r="C842" s="12"/>
      <c r="D842" s="12"/>
      <c r="E842" s="12"/>
      <c r="F842" s="13"/>
      <c r="G842" s="297">
        <v>0</v>
      </c>
      <c r="H842" s="50">
        <f>SUM(H843)</f>
        <v>0</v>
      </c>
      <c r="I842" s="51">
        <f>SUM(I843)</f>
        <v>0</v>
      </c>
      <c r="J842" s="50">
        <f>SUM(J843)</f>
        <v>1</v>
      </c>
      <c r="K842" s="197">
        <f>SUM(K843)</f>
        <v>7</v>
      </c>
      <c r="L842" s="50">
        <f>SUM(L843)</f>
        <v>7</v>
      </c>
      <c r="N842" s="425"/>
      <c r="P842" s="547"/>
      <c r="R842" s="547"/>
      <c r="S842" s="399">
        <v>0</v>
      </c>
      <c r="T842" s="547"/>
    </row>
    <row r="843" spans="1:20" ht="13.5" thickBot="1">
      <c r="A843" s="18">
        <v>642015</v>
      </c>
      <c r="B843" s="18" t="s">
        <v>418</v>
      </c>
      <c r="C843" s="19"/>
      <c r="D843" s="19"/>
      <c r="E843" s="19"/>
      <c r="F843" s="20"/>
      <c r="G843" s="171">
        <v>0</v>
      </c>
      <c r="H843" s="27">
        <v>0</v>
      </c>
      <c r="I843" s="99">
        <v>0</v>
      </c>
      <c r="J843" s="27">
        <v>1</v>
      </c>
      <c r="K843" s="99">
        <v>7</v>
      </c>
      <c r="L843" s="27">
        <v>7</v>
      </c>
      <c r="M843" s="411"/>
      <c r="N843" s="429"/>
      <c r="O843" s="411"/>
      <c r="P843" s="548"/>
      <c r="Q843" s="411"/>
      <c r="R843" s="548"/>
      <c r="S843" s="411">
        <v>0</v>
      </c>
      <c r="T843" s="548"/>
    </row>
    <row r="845" spans="1:14" ht="12.75">
      <c r="A845" s="12" t="s">
        <v>884</v>
      </c>
      <c r="B845" s="12"/>
      <c r="C845" s="12"/>
      <c r="D845" s="12"/>
      <c r="E845" s="12"/>
      <c r="F845" s="12"/>
      <c r="G845" s="162"/>
      <c r="H845" s="91"/>
      <c r="I845" s="91"/>
      <c r="J845" s="91"/>
      <c r="K845" s="12"/>
      <c r="L845" s="52"/>
      <c r="M845" s="52"/>
      <c r="N845" s="428"/>
    </row>
    <row r="846" spans="1:14" ht="12.75">
      <c r="A846" s="12" t="s">
        <v>889</v>
      </c>
      <c r="B846" s="12"/>
      <c r="C846" s="12"/>
      <c r="D846" s="12"/>
      <c r="E846" s="12"/>
      <c r="F846" s="12"/>
      <c r="G846" s="162"/>
      <c r="H846" s="91"/>
      <c r="I846" s="91"/>
      <c r="J846" s="91"/>
      <c r="K846" s="12"/>
      <c r="L846" s="52"/>
      <c r="M846" s="52"/>
      <c r="N846" s="428"/>
    </row>
    <row r="847" spans="1:14" ht="12.75">
      <c r="A847" s="12" t="s">
        <v>885</v>
      </c>
      <c r="B847" s="12"/>
      <c r="C847" s="12"/>
      <c r="D847" s="12"/>
      <c r="E847" s="12"/>
      <c r="F847" s="12"/>
      <c r="G847" s="162"/>
      <c r="H847" s="91"/>
      <c r="I847" s="91"/>
      <c r="J847" s="91"/>
      <c r="K847" s="12"/>
      <c r="L847" s="52"/>
      <c r="M847" s="52"/>
      <c r="N847" s="428"/>
    </row>
    <row r="848" spans="1:14" ht="12.75">
      <c r="A848" s="12" t="s">
        <v>886</v>
      </c>
      <c r="B848" s="12"/>
      <c r="C848" s="12"/>
      <c r="D848" s="12"/>
      <c r="E848" s="12"/>
      <c r="F848" s="12"/>
      <c r="G848" s="162"/>
      <c r="H848" s="91"/>
      <c r="I848" s="91"/>
      <c r="J848" s="91"/>
      <c r="K848" s="12"/>
      <c r="L848" s="52"/>
      <c r="M848" s="52"/>
      <c r="N848" s="428"/>
    </row>
    <row r="849" spans="1:14" ht="12.75">
      <c r="A849" s="12" t="s">
        <v>887</v>
      </c>
      <c r="B849" s="12"/>
      <c r="C849" s="12"/>
      <c r="D849" s="12"/>
      <c r="E849" s="12"/>
      <c r="F849" s="12"/>
      <c r="G849" s="162"/>
      <c r="H849" s="91"/>
      <c r="I849" s="91"/>
      <c r="J849" s="91"/>
      <c r="K849" s="12"/>
      <c r="L849" s="52"/>
      <c r="M849" s="52"/>
      <c r="N849" s="428"/>
    </row>
    <row r="850" spans="1:14" ht="12.75">
      <c r="A850" s="12" t="s">
        <v>888</v>
      </c>
      <c r="B850" s="12"/>
      <c r="C850" s="12"/>
      <c r="D850" s="12"/>
      <c r="E850" s="12"/>
      <c r="F850" s="12"/>
      <c r="G850" s="162"/>
      <c r="H850" s="91"/>
      <c r="I850" s="91"/>
      <c r="J850" s="91"/>
      <c r="K850" s="12"/>
      <c r="L850" s="52"/>
      <c r="M850" s="52"/>
      <c r="N850" s="428"/>
    </row>
    <row r="851" spans="1:14" ht="12.75">
      <c r="A851" s="12" t="s">
        <v>892</v>
      </c>
      <c r="B851" s="12"/>
      <c r="C851" s="12"/>
      <c r="D851" s="12"/>
      <c r="E851" s="12"/>
      <c r="F851" s="12"/>
      <c r="G851" s="162"/>
      <c r="H851" s="91"/>
      <c r="I851" s="91"/>
      <c r="J851" s="91"/>
      <c r="K851" s="12"/>
      <c r="L851" s="52"/>
      <c r="M851" s="52"/>
      <c r="N851" s="428"/>
    </row>
    <row r="852" spans="1:14" ht="12.75">
      <c r="A852" s="12" t="s">
        <v>890</v>
      </c>
      <c r="B852" s="12"/>
      <c r="C852" s="12"/>
      <c r="D852" s="12"/>
      <c r="E852" s="12"/>
      <c r="F852" s="12"/>
      <c r="G852" s="162"/>
      <c r="H852" s="91"/>
      <c r="I852" s="91"/>
      <c r="J852" s="91"/>
      <c r="K852" s="12"/>
      <c r="L852" s="52"/>
      <c r="M852" s="52"/>
      <c r="N852" s="428"/>
    </row>
    <row r="853" spans="1:14" ht="12.75">
      <c r="A853" s="12" t="s">
        <v>893</v>
      </c>
      <c r="B853" s="12"/>
      <c r="C853" s="12"/>
      <c r="D853" s="12"/>
      <c r="E853" s="12"/>
      <c r="F853" s="12"/>
      <c r="G853" s="162"/>
      <c r="H853" s="91"/>
      <c r="I853" s="91"/>
      <c r="J853" s="91"/>
      <c r="K853" s="12"/>
      <c r="L853" s="52"/>
      <c r="N853" s="428"/>
    </row>
    <row r="854" spans="1:14" ht="12.75">
      <c r="A854" s="12" t="s">
        <v>891</v>
      </c>
      <c r="B854" s="12"/>
      <c r="C854" s="12"/>
      <c r="D854" s="12"/>
      <c r="E854" s="12"/>
      <c r="F854" s="12"/>
      <c r="G854" s="162"/>
      <c r="H854" s="91"/>
      <c r="I854" s="91"/>
      <c r="J854" s="91"/>
      <c r="K854" s="12"/>
      <c r="L854" s="52"/>
      <c r="N854" s="428"/>
    </row>
    <row r="855" spans="1:14" ht="12.75">
      <c r="A855" s="12" t="s">
        <v>894</v>
      </c>
      <c r="B855" s="12"/>
      <c r="C855" s="12"/>
      <c r="D855" s="12"/>
      <c r="E855" s="12"/>
      <c r="F855" s="12"/>
      <c r="G855" s="162"/>
      <c r="H855" s="91"/>
      <c r="I855" s="91"/>
      <c r="J855" s="91"/>
      <c r="K855" s="12"/>
      <c r="L855" s="52"/>
      <c r="N855" s="428"/>
    </row>
    <row r="856" spans="1:14" ht="12.75">
      <c r="A856" s="12"/>
      <c r="B856" s="12"/>
      <c r="C856" s="12"/>
      <c r="D856" s="12"/>
      <c r="E856" s="12"/>
      <c r="F856" s="12"/>
      <c r="G856" s="162"/>
      <c r="H856" s="91"/>
      <c r="I856" s="91"/>
      <c r="J856" s="91"/>
      <c r="K856" s="12"/>
      <c r="L856" s="52"/>
      <c r="N856" s="428"/>
    </row>
    <row r="859" ht="13.5" thickBot="1"/>
    <row r="860" spans="1:22" ht="13.5" thickBot="1">
      <c r="A860" s="177" t="s">
        <v>44</v>
      </c>
      <c r="B860" s="178"/>
      <c r="C860" s="178"/>
      <c r="D860" s="179"/>
      <c r="E860" s="179"/>
      <c r="F860" s="179"/>
      <c r="G860" s="15" t="s">
        <v>23</v>
      </c>
      <c r="H860" s="136"/>
      <c r="I860" s="137" t="s">
        <v>395</v>
      </c>
      <c r="J860" s="216"/>
      <c r="K860" s="10" t="s">
        <v>25</v>
      </c>
      <c r="L860" s="238" t="s">
        <v>645</v>
      </c>
      <c r="M860" s="403" t="s">
        <v>296</v>
      </c>
      <c r="N860" s="426" t="s">
        <v>684</v>
      </c>
      <c r="O860" s="403" t="s">
        <v>296</v>
      </c>
      <c r="P860" s="426" t="s">
        <v>683</v>
      </c>
      <c r="Q860" s="415" t="s">
        <v>296</v>
      </c>
      <c r="R860" s="426" t="s">
        <v>681</v>
      </c>
      <c r="S860" s="403" t="s">
        <v>296</v>
      </c>
      <c r="T860" s="421" t="s">
        <v>681</v>
      </c>
      <c r="U860" s="403" t="s">
        <v>296</v>
      </c>
      <c r="V860" s="30" t="s">
        <v>681</v>
      </c>
    </row>
    <row r="861" spans="1:22" ht="16.5" thickTop="1">
      <c r="A861" s="239" t="s">
        <v>175</v>
      </c>
      <c r="B861" s="181" t="s">
        <v>176</v>
      </c>
      <c r="C861" s="182"/>
      <c r="D861" s="12"/>
      <c r="E861" s="12"/>
      <c r="F861" s="12"/>
      <c r="G861" s="11" t="s">
        <v>45</v>
      </c>
      <c r="H861" s="32" t="s">
        <v>27</v>
      </c>
      <c r="I861" s="6" t="s">
        <v>92</v>
      </c>
      <c r="J861" s="108" t="s">
        <v>29</v>
      </c>
      <c r="K861" s="33" t="s">
        <v>46</v>
      </c>
      <c r="L861" s="208"/>
      <c r="M861" s="25" t="s">
        <v>297</v>
      </c>
      <c r="N861" s="425"/>
      <c r="O861" s="25" t="s">
        <v>750</v>
      </c>
      <c r="P861" s="547"/>
      <c r="Q861" s="416" t="s">
        <v>896</v>
      </c>
      <c r="R861" s="547"/>
      <c r="S861" s="25" t="s">
        <v>957</v>
      </c>
      <c r="T861" s="422"/>
      <c r="U861" s="25" t="s">
        <v>252</v>
      </c>
      <c r="V861" s="26"/>
    </row>
    <row r="862" spans="1:22" ht="13.5" thickBot="1">
      <c r="A862" s="183"/>
      <c r="B862" s="184"/>
      <c r="C862" s="185"/>
      <c r="D862" s="37"/>
      <c r="E862" s="37"/>
      <c r="F862" s="37"/>
      <c r="G862" s="83"/>
      <c r="H862" s="84">
        <v>38335</v>
      </c>
      <c r="I862" s="148">
        <v>38587</v>
      </c>
      <c r="J862" s="110" t="s">
        <v>31</v>
      </c>
      <c r="K862" s="33" t="s">
        <v>32</v>
      </c>
      <c r="L862" s="242"/>
      <c r="M862" s="404"/>
      <c r="N862" s="429"/>
      <c r="O862" s="404"/>
      <c r="P862" s="548"/>
      <c r="Q862" s="411"/>
      <c r="R862" s="548"/>
      <c r="S862" s="404"/>
      <c r="T862" s="423"/>
      <c r="U862" s="404"/>
      <c r="V862" s="27"/>
    </row>
    <row r="863" spans="1:20" ht="13.5" thickBot="1">
      <c r="A863" s="186" t="s">
        <v>47</v>
      </c>
      <c r="B863" s="187"/>
      <c r="C863" s="39"/>
      <c r="D863" s="188" t="s">
        <v>48</v>
      </c>
      <c r="E863" s="19"/>
      <c r="F863" s="19"/>
      <c r="G863" s="152">
        <v>1</v>
      </c>
      <c r="H863" s="41">
        <v>2</v>
      </c>
      <c r="I863" s="188">
        <v>3</v>
      </c>
      <c r="J863" s="22">
        <v>4</v>
      </c>
      <c r="K863" s="40">
        <v>1</v>
      </c>
      <c r="L863" s="599">
        <v>1</v>
      </c>
      <c r="M863" s="409"/>
      <c r="N863" s="424"/>
      <c r="P863" s="547"/>
      <c r="R863" s="556"/>
      <c r="T863" s="556"/>
    </row>
    <row r="864" spans="1:22" s="28" customFormat="1" ht="15">
      <c r="A864" s="371"/>
      <c r="B864" s="445" t="s">
        <v>228</v>
      </c>
      <c r="C864" s="372"/>
      <c r="D864" s="373"/>
      <c r="E864" s="373"/>
      <c r="F864" s="446"/>
      <c r="G864" s="390" t="e">
        <f>G870+G882+G896+G908+#REF!++G867</f>
        <v>#REF!</v>
      </c>
      <c r="H864" s="391" t="e">
        <f>H870+H882+H896+H908+#REF!+H867</f>
        <v>#REF!</v>
      </c>
      <c r="I864" s="390" t="e">
        <f>I870+I882+I896+I908+#REF!+I867</f>
        <v>#REF!</v>
      </c>
      <c r="J864" s="391" t="e">
        <f>J870+J882+J896+J908+#REF!+J867</f>
        <v>#REF!</v>
      </c>
      <c r="K864" s="390" t="e">
        <f>K870+K882+K896+K908+#REF!+K867</f>
        <v>#REF!</v>
      </c>
      <c r="L864" s="390">
        <f>L865+L881</f>
        <v>385489</v>
      </c>
      <c r="M864" s="390">
        <f>M865+M881</f>
        <v>57576</v>
      </c>
      <c r="N864" s="534">
        <f>SUM(M864/L864)*100</f>
        <v>14.935834744960296</v>
      </c>
      <c r="O864" s="392">
        <f>O865+O881</f>
        <v>59238</v>
      </c>
      <c r="P864" s="570">
        <f>SUM(O864/L864)*100</f>
        <v>15.366975451958423</v>
      </c>
      <c r="Q864" s="392">
        <f>Q865+Q881</f>
        <v>66939</v>
      </c>
      <c r="R864" s="567">
        <f>SUM(Q864/L864)*100</f>
        <v>17.364697825359478</v>
      </c>
      <c r="S864" s="392">
        <f>S865+S881</f>
        <v>67288</v>
      </c>
      <c r="T864" s="567">
        <f>SUM(S864/L864)*100</f>
        <v>17.455232185613596</v>
      </c>
      <c r="U864" s="392">
        <f>U865+U881</f>
        <v>69575</v>
      </c>
      <c r="V864" s="783"/>
    </row>
    <row r="865" spans="1:21" ht="12.75">
      <c r="A865" s="301"/>
      <c r="B865" s="282" t="s">
        <v>37</v>
      </c>
      <c r="C865" s="161"/>
      <c r="D865" s="12"/>
      <c r="E865" s="12"/>
      <c r="F865" s="13"/>
      <c r="G865" s="155"/>
      <c r="H865" s="52"/>
      <c r="I865" s="14"/>
      <c r="J865" s="12"/>
      <c r="K865" s="14"/>
      <c r="L865" s="375">
        <f>SUM(L867+L870)</f>
        <v>1296</v>
      </c>
      <c r="M865" s="375">
        <f>SUM(M867+M870)</f>
        <v>266</v>
      </c>
      <c r="N865" s="568">
        <f>SUM(M865/L865)*100</f>
        <v>20.52469135802469</v>
      </c>
      <c r="O865" s="376">
        <f>SUM(O867+O870)</f>
        <v>266</v>
      </c>
      <c r="P865" s="568">
        <f>SUM(O865/L865)*100</f>
        <v>20.52469135802469</v>
      </c>
      <c r="Q865" s="376">
        <f>SUM(Q867+Q870)</f>
        <v>969</v>
      </c>
      <c r="R865" s="568">
        <f>SUM(Q865/L865)*100</f>
        <v>74.76851851851852</v>
      </c>
      <c r="S865" s="376">
        <f>SUM(S867+S870)</f>
        <v>974</v>
      </c>
      <c r="T865" s="568">
        <f>SUM(S865/L865)*100</f>
        <v>75.15432098765432</v>
      </c>
      <c r="U865" s="376">
        <f>SUM(U867+U870)</f>
        <v>974</v>
      </c>
    </row>
    <row r="866" spans="1:20" ht="12.75">
      <c r="A866" s="301"/>
      <c r="B866" s="282"/>
      <c r="C866" s="161"/>
      <c r="D866" s="12"/>
      <c r="E866" s="12"/>
      <c r="F866" s="13"/>
      <c r="G866" s="155"/>
      <c r="H866" s="52"/>
      <c r="I866" s="14"/>
      <c r="J866" s="12"/>
      <c r="K866" s="14"/>
      <c r="L866" s="26"/>
      <c r="N866" s="425"/>
      <c r="P866" s="547"/>
      <c r="R866" s="547"/>
      <c r="T866" s="547"/>
    </row>
    <row r="867" spans="1:21" ht="12.75">
      <c r="A867" s="302">
        <v>635</v>
      </c>
      <c r="B867" s="244" t="s">
        <v>277</v>
      </c>
      <c r="C867" s="269"/>
      <c r="D867" s="252"/>
      <c r="E867" s="252"/>
      <c r="F867" s="235"/>
      <c r="G867" s="303">
        <v>0</v>
      </c>
      <c r="H867" s="51">
        <v>0</v>
      </c>
      <c r="I867" s="66">
        <f>SUM(I868)</f>
        <v>500</v>
      </c>
      <c r="J867" s="49">
        <v>0</v>
      </c>
      <c r="K867" s="66">
        <f>SUM(K868)</f>
        <v>1423</v>
      </c>
      <c r="L867" s="50">
        <f>SUM(L868)</f>
        <v>500</v>
      </c>
      <c r="M867" s="197">
        <f>SUM(M868)</f>
        <v>0</v>
      </c>
      <c r="N867" s="425"/>
      <c r="O867" s="31">
        <v>0</v>
      </c>
      <c r="P867" s="547"/>
      <c r="Q867" s="197">
        <f>SUM(Q868)</f>
        <v>488</v>
      </c>
      <c r="R867" s="433">
        <f>SUM(Q867/L867)*100</f>
        <v>97.6</v>
      </c>
      <c r="S867" s="399">
        <v>488</v>
      </c>
      <c r="T867" s="433">
        <f>SUM(S867/L867)*100</f>
        <v>97.6</v>
      </c>
      <c r="U867" s="399">
        <v>488</v>
      </c>
    </row>
    <row r="868" spans="1:21" ht="12.75">
      <c r="A868" s="261">
        <v>635006</v>
      </c>
      <c r="B868" s="262" t="s">
        <v>482</v>
      </c>
      <c r="C868" s="158"/>
      <c r="D868" s="24"/>
      <c r="E868" s="24"/>
      <c r="F868" s="58"/>
      <c r="G868" s="304">
        <v>0</v>
      </c>
      <c r="H868" s="91">
        <v>0</v>
      </c>
      <c r="I868" s="71">
        <f>300+200</f>
        <v>500</v>
      </c>
      <c r="J868" s="24">
        <v>0</v>
      </c>
      <c r="K868" s="14">
        <v>1423</v>
      </c>
      <c r="L868" s="26">
        <v>500</v>
      </c>
      <c r="M868" s="31">
        <v>0</v>
      </c>
      <c r="N868" s="425"/>
      <c r="O868" s="31">
        <v>0</v>
      </c>
      <c r="P868" s="547"/>
      <c r="Q868" s="31">
        <v>488</v>
      </c>
      <c r="R868" s="430">
        <f>SUM(Q868/L868)*100</f>
        <v>97.6</v>
      </c>
      <c r="S868" s="31">
        <v>488</v>
      </c>
      <c r="T868" s="430">
        <f>SUM(S868/L868)*100</f>
        <v>97.6</v>
      </c>
      <c r="U868" s="31">
        <v>488</v>
      </c>
    </row>
    <row r="869" spans="1:20" ht="12.75">
      <c r="A869" s="261"/>
      <c r="B869" s="262"/>
      <c r="C869" s="158"/>
      <c r="D869" s="24"/>
      <c r="E869" s="24"/>
      <c r="F869" s="58"/>
      <c r="G869" s="304"/>
      <c r="H869" s="91"/>
      <c r="I869" s="71"/>
      <c r="J869" s="24"/>
      <c r="K869" s="14"/>
      <c r="L869" s="26"/>
      <c r="N869" s="425"/>
      <c r="P869" s="547"/>
      <c r="R869" s="547"/>
      <c r="T869" s="547"/>
    </row>
    <row r="870" spans="1:21" ht="12.75">
      <c r="A870" s="302">
        <v>637</v>
      </c>
      <c r="B870" s="244" t="s">
        <v>288</v>
      </c>
      <c r="C870" s="269"/>
      <c r="D870" s="12"/>
      <c r="E870" s="12"/>
      <c r="F870" s="13"/>
      <c r="G870" s="305">
        <f>G871+G875</f>
        <v>756</v>
      </c>
      <c r="H870" s="297">
        <f>H871+H875</f>
        <v>640</v>
      </c>
      <c r="I870" s="298">
        <f>I871+I875</f>
        <v>940</v>
      </c>
      <c r="J870" s="297">
        <f>J871+J875</f>
        <v>616</v>
      </c>
      <c r="K870" s="298">
        <f>K871+K875</f>
        <v>470</v>
      </c>
      <c r="L870" s="298">
        <f>L871+L875+L878</f>
        <v>796</v>
      </c>
      <c r="M870" s="299">
        <f>M871+O875+M878</f>
        <v>266</v>
      </c>
      <c r="N870" s="433">
        <f>SUM(M870/L870)*100</f>
        <v>33.41708542713568</v>
      </c>
      <c r="O870" s="299">
        <f>O871+O875+O878</f>
        <v>266</v>
      </c>
      <c r="P870" s="433">
        <f>SUM(O870/L870)*100</f>
        <v>33.41708542713568</v>
      </c>
      <c r="Q870" s="299">
        <f>Q871+Q875+Q878</f>
        <v>481</v>
      </c>
      <c r="R870" s="433">
        <f>SUM(Q870/L870)*100</f>
        <v>60.42713567839196</v>
      </c>
      <c r="S870" s="299">
        <f>S871+S875+S878</f>
        <v>486</v>
      </c>
      <c r="T870" s="433">
        <f>SUM(S870/L870)*100</f>
        <v>61.05527638190955</v>
      </c>
      <c r="U870" s="299">
        <f>U871+U875+U878</f>
        <v>486</v>
      </c>
    </row>
    <row r="871" spans="1:21" ht="12.75">
      <c r="A871" s="261">
        <v>637004</v>
      </c>
      <c r="B871" s="262" t="s">
        <v>483</v>
      </c>
      <c r="C871" s="306"/>
      <c r="D871" s="12"/>
      <c r="E871" s="12"/>
      <c r="F871" s="13"/>
      <c r="G871" s="155">
        <f aca="true" t="shared" si="182" ref="G871:M871">SUM(G872:G872)</f>
        <v>208</v>
      </c>
      <c r="H871" s="12">
        <f t="shared" si="182"/>
        <v>340</v>
      </c>
      <c r="I871" s="14">
        <f t="shared" si="182"/>
        <v>340</v>
      </c>
      <c r="J871" s="12">
        <f t="shared" si="182"/>
        <v>291</v>
      </c>
      <c r="K871" s="14">
        <f t="shared" si="182"/>
        <v>70</v>
      </c>
      <c r="L871" s="26">
        <f>SUM(L872:L873)</f>
        <v>90</v>
      </c>
      <c r="M871" s="25">
        <f t="shared" si="182"/>
        <v>0</v>
      </c>
      <c r="N871" s="425"/>
      <c r="P871" s="547"/>
      <c r="Q871" s="25">
        <f>SUM(Q872:Q873)</f>
        <v>42</v>
      </c>
      <c r="R871" s="430">
        <f>SUM(Q871/L871)*100</f>
        <v>46.666666666666664</v>
      </c>
      <c r="S871" s="31">
        <v>42</v>
      </c>
      <c r="T871" s="430">
        <f>SUM(S871/L871)*100</f>
        <v>46.666666666666664</v>
      </c>
      <c r="U871" s="31">
        <v>42</v>
      </c>
    </row>
    <row r="872" spans="1:22" s="627" customFormat="1" ht="12">
      <c r="A872" s="643"/>
      <c r="B872" s="205" t="s">
        <v>484</v>
      </c>
      <c r="C872" s="644"/>
      <c r="D872" s="203"/>
      <c r="E872" s="203"/>
      <c r="F872" s="632"/>
      <c r="G872" s="645">
        <v>208</v>
      </c>
      <c r="H872" s="201">
        <v>340</v>
      </c>
      <c r="I872" s="94">
        <v>340</v>
      </c>
      <c r="J872" s="201">
        <v>291</v>
      </c>
      <c r="K872" s="204">
        <v>70</v>
      </c>
      <c r="L872" s="94">
        <v>70</v>
      </c>
      <c r="M872" s="562">
        <v>0</v>
      </c>
      <c r="N872" s="563"/>
      <c r="O872" s="562"/>
      <c r="P872" s="565"/>
      <c r="Q872" s="562">
        <v>42</v>
      </c>
      <c r="R872" s="563">
        <f>SUM(Q872/L872)*100</f>
        <v>60</v>
      </c>
      <c r="S872" s="562">
        <v>42</v>
      </c>
      <c r="T872" s="563">
        <f>SUM(S872/L872)*100</f>
        <v>60</v>
      </c>
      <c r="U872" s="562">
        <v>42</v>
      </c>
      <c r="V872" s="562"/>
    </row>
    <row r="873" spans="1:22" s="627" customFormat="1" ht="12">
      <c r="A873" s="643"/>
      <c r="B873" s="205" t="s">
        <v>734</v>
      </c>
      <c r="C873" s="644"/>
      <c r="D873" s="203"/>
      <c r="E873" s="203"/>
      <c r="F873" s="632"/>
      <c r="G873" s="645"/>
      <c r="H873" s="201"/>
      <c r="I873" s="94"/>
      <c r="J873" s="201"/>
      <c r="K873" s="204"/>
      <c r="L873" s="94">
        <v>20</v>
      </c>
      <c r="M873" s="562"/>
      <c r="N873" s="563"/>
      <c r="O873" s="562"/>
      <c r="P873" s="565"/>
      <c r="Q873" s="562"/>
      <c r="R873" s="565"/>
      <c r="S873" s="562">
        <v>0</v>
      </c>
      <c r="T873" s="565"/>
      <c r="U873" s="562"/>
      <c r="V873" s="562"/>
    </row>
    <row r="874" spans="1:20" ht="12.75">
      <c r="A874" s="301"/>
      <c r="B874" s="90"/>
      <c r="C874" s="243"/>
      <c r="D874" s="70"/>
      <c r="E874" s="70"/>
      <c r="F874" s="68"/>
      <c r="G874" s="307"/>
      <c r="H874" s="59"/>
      <c r="I874" s="60"/>
      <c r="J874" s="59"/>
      <c r="K874" s="67"/>
      <c r="L874" s="60"/>
      <c r="N874" s="425"/>
      <c r="P874" s="547"/>
      <c r="R874" s="547"/>
      <c r="T874" s="547"/>
    </row>
    <row r="875" spans="1:21" ht="12.75">
      <c r="A875" s="261">
        <v>637005</v>
      </c>
      <c r="B875" s="262" t="s">
        <v>485</v>
      </c>
      <c r="C875" s="269"/>
      <c r="D875" s="12"/>
      <c r="E875" s="12"/>
      <c r="F875" s="13"/>
      <c r="G875" s="308">
        <f aca="true" t="shared" si="183" ref="G875:U875">SUM(G876:G877)</f>
        <v>548</v>
      </c>
      <c r="H875" s="309">
        <f t="shared" si="183"/>
        <v>300</v>
      </c>
      <c r="I875" s="308">
        <f t="shared" si="183"/>
        <v>600</v>
      </c>
      <c r="J875" s="309">
        <f t="shared" si="183"/>
        <v>325</v>
      </c>
      <c r="K875" s="308">
        <f t="shared" si="183"/>
        <v>400</v>
      </c>
      <c r="L875" s="304">
        <f t="shared" si="183"/>
        <v>400</v>
      </c>
      <c r="M875" s="304">
        <f t="shared" si="183"/>
        <v>34</v>
      </c>
      <c r="N875" s="430">
        <f>SUM(O875/L875)*100</f>
        <v>14.000000000000002</v>
      </c>
      <c r="O875" s="558">
        <f t="shared" si="183"/>
        <v>56</v>
      </c>
      <c r="P875" s="430">
        <f>SUM(O875/L875)*100</f>
        <v>14.000000000000002</v>
      </c>
      <c r="Q875" s="558">
        <f t="shared" si="183"/>
        <v>133</v>
      </c>
      <c r="R875" s="430">
        <f>SUM(Q875/L875)*100</f>
        <v>33.25</v>
      </c>
      <c r="S875" s="558">
        <f t="shared" si="183"/>
        <v>139</v>
      </c>
      <c r="T875" s="430">
        <f>SUM(S875/L875)*100</f>
        <v>34.75</v>
      </c>
      <c r="U875" s="558">
        <f t="shared" si="183"/>
        <v>139</v>
      </c>
    </row>
    <row r="876" spans="1:22" s="627" customFormat="1" ht="12">
      <c r="A876" s="204"/>
      <c r="B876" s="205" t="s">
        <v>486</v>
      </c>
      <c r="C876" s="203"/>
      <c r="D876" s="203"/>
      <c r="E876" s="203"/>
      <c r="F876" s="632"/>
      <c r="G876" s="645">
        <v>488</v>
      </c>
      <c r="H876" s="201">
        <v>200</v>
      </c>
      <c r="I876" s="204">
        <f>300+200</f>
        <v>500</v>
      </c>
      <c r="J876" s="203">
        <v>291</v>
      </c>
      <c r="K876" s="204">
        <v>300</v>
      </c>
      <c r="L876" s="94">
        <v>300</v>
      </c>
      <c r="M876" s="562">
        <v>30</v>
      </c>
      <c r="N876" s="563">
        <f>SUM(M876/L876)*100</f>
        <v>10</v>
      </c>
      <c r="O876" s="562">
        <v>52</v>
      </c>
      <c r="P876" s="563">
        <f>SUM(O876/L876)*100</f>
        <v>17.333333333333336</v>
      </c>
      <c r="Q876" s="562">
        <v>121</v>
      </c>
      <c r="R876" s="563">
        <f>SUM(Q876/L876)*100</f>
        <v>40.33333333333333</v>
      </c>
      <c r="S876" s="562">
        <v>127</v>
      </c>
      <c r="T876" s="563">
        <f>SUM(S876/L876)*100</f>
        <v>42.333333333333336</v>
      </c>
      <c r="U876" s="562">
        <v>127</v>
      </c>
      <c r="V876" s="562"/>
    </row>
    <row r="877" spans="1:22" s="627" customFormat="1" ht="12">
      <c r="A877" s="204"/>
      <c r="B877" s="205" t="s">
        <v>487</v>
      </c>
      <c r="C877" s="203"/>
      <c r="D877" s="203"/>
      <c r="E877" s="203"/>
      <c r="F877" s="632"/>
      <c r="G877" s="645">
        <v>60</v>
      </c>
      <c r="H877" s="201">
        <v>100</v>
      </c>
      <c r="I877" s="204">
        <v>100</v>
      </c>
      <c r="J877" s="203">
        <v>34</v>
      </c>
      <c r="K877" s="204">
        <v>100</v>
      </c>
      <c r="L877" s="94">
        <v>100</v>
      </c>
      <c r="M877" s="562">
        <v>4</v>
      </c>
      <c r="N877" s="563">
        <f>SUM(M877/L877)*100</f>
        <v>4</v>
      </c>
      <c r="O877" s="562">
        <v>4</v>
      </c>
      <c r="P877" s="563">
        <f>SUM(O877/L877)*100</f>
        <v>4</v>
      </c>
      <c r="Q877" s="562">
        <v>12</v>
      </c>
      <c r="R877" s="563">
        <f>SUM(Q877/L877)*100</f>
        <v>12</v>
      </c>
      <c r="S877" s="562">
        <v>12</v>
      </c>
      <c r="T877" s="563">
        <f>SUM(S877/L877)*100</f>
        <v>12</v>
      </c>
      <c r="U877" s="562">
        <v>12</v>
      </c>
      <c r="V877" s="562"/>
    </row>
    <row r="878" spans="1:21" ht="12.75">
      <c r="A878" s="71">
        <v>637011</v>
      </c>
      <c r="B878" s="90" t="s">
        <v>735</v>
      </c>
      <c r="C878" s="70"/>
      <c r="D878" s="70"/>
      <c r="E878" s="70"/>
      <c r="F878" s="13"/>
      <c r="G878" s="307"/>
      <c r="H878" s="201"/>
      <c r="I878" s="204"/>
      <c r="J878" s="203"/>
      <c r="K878" s="67"/>
      <c r="L878" s="92">
        <v>306</v>
      </c>
      <c r="M878" s="31">
        <v>210</v>
      </c>
      <c r="N878" s="425"/>
      <c r="O878" s="31">
        <v>210</v>
      </c>
      <c r="P878" s="430">
        <f>SUM(O878/L878)*100</f>
        <v>68.62745098039215</v>
      </c>
      <c r="Q878" s="31">
        <v>306</v>
      </c>
      <c r="R878" s="430">
        <f>SUM(Q878/L878)*100</f>
        <v>100</v>
      </c>
      <c r="S878" s="31">
        <v>305</v>
      </c>
      <c r="T878" s="430">
        <f>SUM(S878/L878)*100</f>
        <v>99.67320261437908</v>
      </c>
      <c r="U878" s="31">
        <v>305</v>
      </c>
    </row>
    <row r="879" spans="1:20" ht="12.75">
      <c r="A879" s="53"/>
      <c r="B879" s="90"/>
      <c r="C879" s="70"/>
      <c r="D879" s="70"/>
      <c r="E879" s="70"/>
      <c r="F879" s="13"/>
      <c r="G879" s="307"/>
      <c r="H879" s="201"/>
      <c r="I879" s="204"/>
      <c r="J879" s="203"/>
      <c r="K879" s="67"/>
      <c r="L879" s="60"/>
      <c r="N879" s="425"/>
      <c r="P879" s="547"/>
      <c r="R879" s="547"/>
      <c r="T879" s="547"/>
    </row>
    <row r="880" spans="1:20" ht="12.75">
      <c r="A880" s="53"/>
      <c r="B880" s="90"/>
      <c r="C880" s="70"/>
      <c r="D880" s="70"/>
      <c r="E880" s="70"/>
      <c r="F880" s="13"/>
      <c r="G880" s="307"/>
      <c r="H880" s="201"/>
      <c r="I880" s="204"/>
      <c r="J880" s="203"/>
      <c r="K880" s="67"/>
      <c r="L880" s="60"/>
      <c r="N880" s="425"/>
      <c r="P880" s="547"/>
      <c r="R880" s="547"/>
      <c r="T880" s="547"/>
    </row>
    <row r="881" spans="1:22" s="275" customFormat="1" ht="15">
      <c r="A881" s="492">
        <v>700</v>
      </c>
      <c r="B881" s="245" t="s">
        <v>38</v>
      </c>
      <c r="C881" s="245"/>
      <c r="D881" s="63"/>
      <c r="E881" s="63"/>
      <c r="F881" s="63"/>
      <c r="G881" s="491"/>
      <c r="H881" s="220"/>
      <c r="I881" s="61"/>
      <c r="J881" s="63"/>
      <c r="K881" s="98"/>
      <c r="L881" s="64">
        <f>SUM(L882+L896+L908)</f>
        <v>384193</v>
      </c>
      <c r="M881" s="494">
        <f>SUM(M882+M896+M908)</f>
        <v>57310</v>
      </c>
      <c r="N881" s="516">
        <f>SUM(M881/L881)*100</f>
        <v>14.916981829445097</v>
      </c>
      <c r="O881" s="494">
        <f>SUM(O882+O896+O908)</f>
        <v>58972</v>
      </c>
      <c r="P881" s="516">
        <f>SUM(O881/L881)*100</f>
        <v>15.349576905357464</v>
      </c>
      <c r="Q881" s="413">
        <f>SUM(Q882+Q896+Q908)</f>
        <v>65970</v>
      </c>
      <c r="R881" s="432">
        <f>SUM(Q881/L881)*100</f>
        <v>17.17105725507753</v>
      </c>
      <c r="S881" s="413">
        <f>SUM(S882+S896+S908)</f>
        <v>66314</v>
      </c>
      <c r="T881" s="432">
        <f>SUM(S881/L881)*100</f>
        <v>17.260595586072625</v>
      </c>
      <c r="U881" s="413">
        <f>SUM(U882+U896+U908)</f>
        <v>68601</v>
      </c>
      <c r="V881" s="370"/>
    </row>
    <row r="882" spans="1:21" ht="12.75">
      <c r="A882" s="302">
        <v>711</v>
      </c>
      <c r="B882" s="244" t="s">
        <v>383</v>
      </c>
      <c r="C882" s="269"/>
      <c r="D882" s="12"/>
      <c r="E882" s="12"/>
      <c r="F882" s="13"/>
      <c r="G882" s="305">
        <f>SUM(G883)</f>
        <v>1877</v>
      </c>
      <c r="H882" s="297">
        <f aca="true" t="shared" si="184" ref="H882:U882">H883</f>
        <v>63800</v>
      </c>
      <c r="I882" s="298">
        <f t="shared" si="184"/>
        <v>61414</v>
      </c>
      <c r="J882" s="297">
        <f t="shared" si="184"/>
        <v>507</v>
      </c>
      <c r="K882" s="298">
        <f t="shared" si="184"/>
        <v>113700</v>
      </c>
      <c r="L882" s="298">
        <f t="shared" si="184"/>
        <v>125500</v>
      </c>
      <c r="M882" s="299">
        <f t="shared" si="184"/>
        <v>56569</v>
      </c>
      <c r="N882" s="433">
        <f>SUM(M882/L882)*100</f>
        <v>45.07490039840638</v>
      </c>
      <c r="O882" s="299">
        <f t="shared" si="184"/>
        <v>57166</v>
      </c>
      <c r="P882" s="433">
        <f>SUM(O882/L882)*100</f>
        <v>45.550597609561756</v>
      </c>
      <c r="Q882" s="299">
        <f t="shared" si="184"/>
        <v>62960</v>
      </c>
      <c r="R882" s="433">
        <f>SUM(Q882/L882)*100</f>
        <v>50.167330677290835</v>
      </c>
      <c r="S882" s="299">
        <f t="shared" si="184"/>
        <v>63301</v>
      </c>
      <c r="T882" s="433">
        <f>SUM(S882/L882)*100</f>
        <v>50.43904382470119</v>
      </c>
      <c r="U882" s="299">
        <f t="shared" si="184"/>
        <v>63301</v>
      </c>
    </row>
    <row r="883" spans="1:22" s="131" customFormat="1" ht="12.75">
      <c r="A883" s="261">
        <v>711001</v>
      </c>
      <c r="B883" s="262" t="s">
        <v>488</v>
      </c>
      <c r="C883" s="158"/>
      <c r="D883" s="24"/>
      <c r="E883" s="24"/>
      <c r="F883" s="58"/>
      <c r="G883" s="304">
        <f>SUM(G884:G889)</f>
        <v>1877</v>
      </c>
      <c r="H883" s="159">
        <f>SUM(H884:H891)</f>
        <v>63800</v>
      </c>
      <c r="I883" s="304">
        <f>SUM(I884:I891)</f>
        <v>61414</v>
      </c>
      <c r="J883" s="159">
        <f>SUM(J884:J891)</f>
        <v>507</v>
      </c>
      <c r="K883" s="304">
        <f>SUM(K884:K892)</f>
        <v>113700</v>
      </c>
      <c r="L883" s="304">
        <f>SUM(L884:L894)</f>
        <v>125500</v>
      </c>
      <c r="M883" s="558">
        <f>SUM(M884:M892)</f>
        <v>56569</v>
      </c>
      <c r="N883" s="430">
        <f>SUM(M883/L883)*100</f>
        <v>45.07490039840638</v>
      </c>
      <c r="O883" s="558">
        <f>SUM(O884:O892)</f>
        <v>57166</v>
      </c>
      <c r="P883" s="430">
        <f>SUM(O883/L883)*100</f>
        <v>45.550597609561756</v>
      </c>
      <c r="Q883" s="558">
        <v>62960</v>
      </c>
      <c r="R883" s="430">
        <f>SUM(Q883/L883)*100</f>
        <v>50.167330677290835</v>
      </c>
      <c r="S883" s="558">
        <f>SUM(S884:S894)</f>
        <v>63301</v>
      </c>
      <c r="T883" s="430">
        <f>SUM(S883/L883)*100</f>
        <v>50.43904382470119</v>
      </c>
      <c r="U883" s="558">
        <f>SUM(U884:U894)</f>
        <v>63301</v>
      </c>
      <c r="V883" s="389"/>
    </row>
    <row r="884" spans="1:22" s="131" customFormat="1" ht="12.75">
      <c r="A884" s="261"/>
      <c r="B884" s="646" t="s">
        <v>489</v>
      </c>
      <c r="C884" s="158"/>
      <c r="D884" s="24"/>
      <c r="E884" s="24"/>
      <c r="F884" s="58"/>
      <c r="G884" s="304">
        <v>1163</v>
      </c>
      <c r="H884" s="24">
        <v>100</v>
      </c>
      <c r="I884" s="71">
        <v>100</v>
      </c>
      <c r="J884" s="24">
        <v>0</v>
      </c>
      <c r="K884" s="71">
        <v>100</v>
      </c>
      <c r="L884" s="92">
        <v>600</v>
      </c>
      <c r="M884" s="389"/>
      <c r="N884" s="430"/>
      <c r="O884" s="389">
        <v>0</v>
      </c>
      <c r="P884" s="549"/>
      <c r="Q884" s="389"/>
      <c r="R884" s="549"/>
      <c r="S884" s="389"/>
      <c r="T884" s="549"/>
      <c r="U884" s="389"/>
      <c r="V884" s="389"/>
    </row>
    <row r="885" spans="1:22" s="131" customFormat="1" ht="12.75">
      <c r="A885" s="261"/>
      <c r="B885" s="262" t="s">
        <v>490</v>
      </c>
      <c r="C885" s="158"/>
      <c r="D885" s="24"/>
      <c r="E885" s="24"/>
      <c r="F885" s="58"/>
      <c r="G885" s="304">
        <v>637</v>
      </c>
      <c r="H885" s="91">
        <v>3000</v>
      </c>
      <c r="I885" s="92">
        <v>714</v>
      </c>
      <c r="J885" s="91">
        <v>502</v>
      </c>
      <c r="K885" s="71">
        <v>2000</v>
      </c>
      <c r="L885" s="92">
        <v>7000</v>
      </c>
      <c r="M885" s="389">
        <v>1988</v>
      </c>
      <c r="N885" s="430">
        <f>SUM(M885/L885)*100</f>
        <v>28.4</v>
      </c>
      <c r="O885" s="389">
        <v>2556</v>
      </c>
      <c r="P885" s="430">
        <f>SUM(O885/L885)*100</f>
        <v>36.51428571428571</v>
      </c>
      <c r="Q885" s="389">
        <v>2556</v>
      </c>
      <c r="R885" s="430">
        <f>SUM(Q885/L885)*100</f>
        <v>36.51428571428571</v>
      </c>
      <c r="S885" s="389">
        <v>2881</v>
      </c>
      <c r="T885" s="430">
        <f>SUM(S885/L885)*100</f>
        <v>41.15714285714286</v>
      </c>
      <c r="U885" s="389">
        <v>2881</v>
      </c>
      <c r="V885" s="389"/>
    </row>
    <row r="886" spans="1:22" s="131" customFormat="1" ht="12.75">
      <c r="A886" s="261"/>
      <c r="B886" s="262" t="s">
        <v>491</v>
      </c>
      <c r="C886" s="158"/>
      <c r="D886" s="24"/>
      <c r="E886" s="24"/>
      <c r="F886" s="58"/>
      <c r="G886" s="304">
        <v>42</v>
      </c>
      <c r="H886" s="24">
        <v>50</v>
      </c>
      <c r="I886" s="71">
        <v>50</v>
      </c>
      <c r="J886" s="24">
        <v>0</v>
      </c>
      <c r="K886" s="71">
        <v>50</v>
      </c>
      <c r="L886" s="92">
        <v>50</v>
      </c>
      <c r="M886" s="389">
        <v>21</v>
      </c>
      <c r="N886" s="430">
        <f>SUM(M886/L886)*100</f>
        <v>42</v>
      </c>
      <c r="O886" s="389">
        <v>50</v>
      </c>
      <c r="P886" s="430">
        <f>SUM(O886/L886)*100</f>
        <v>100</v>
      </c>
      <c r="Q886" s="389">
        <v>50</v>
      </c>
      <c r="R886" s="430">
        <f>SUM(Q886/L886)*100</f>
        <v>100</v>
      </c>
      <c r="S886" s="389">
        <v>50</v>
      </c>
      <c r="T886" s="430">
        <f>SUM(S886/L886)*100</f>
        <v>100</v>
      </c>
      <c r="U886" s="389">
        <v>50</v>
      </c>
      <c r="V886" s="389"/>
    </row>
    <row r="887" spans="1:22" s="131" customFormat="1" ht="12.75">
      <c r="A887" s="261"/>
      <c r="B887" s="262" t="s">
        <v>492</v>
      </c>
      <c r="C887" s="158"/>
      <c r="D887" s="24"/>
      <c r="E887" s="24"/>
      <c r="F887" s="58"/>
      <c r="G887" s="304">
        <v>35</v>
      </c>
      <c r="H887" s="24">
        <v>50</v>
      </c>
      <c r="I887" s="71">
        <v>50</v>
      </c>
      <c r="J887" s="24">
        <v>0</v>
      </c>
      <c r="K887" s="71">
        <v>50</v>
      </c>
      <c r="L887" s="92">
        <v>50</v>
      </c>
      <c r="M887" s="389"/>
      <c r="N887" s="430"/>
      <c r="O887" s="389"/>
      <c r="P887" s="549"/>
      <c r="Q887" s="389"/>
      <c r="R887" s="549"/>
      <c r="S887" s="389"/>
      <c r="T887" s="549"/>
      <c r="U887" s="389"/>
      <c r="V887" s="389"/>
    </row>
    <row r="888" spans="1:22" s="131" customFormat="1" ht="12.75">
      <c r="A888" s="261"/>
      <c r="B888" s="262" t="s">
        <v>493</v>
      </c>
      <c r="C888" s="158"/>
      <c r="D888" s="24"/>
      <c r="E888" s="24"/>
      <c r="F888" s="58"/>
      <c r="G888" s="304"/>
      <c r="H888" s="24">
        <v>400</v>
      </c>
      <c r="I888" s="71">
        <v>300</v>
      </c>
      <c r="J888" s="24">
        <v>5</v>
      </c>
      <c r="K888" s="71">
        <v>300</v>
      </c>
      <c r="L888" s="92">
        <v>600</v>
      </c>
      <c r="M888" s="389">
        <v>16</v>
      </c>
      <c r="N888" s="430">
        <f>SUM(M888/L888)*100</f>
        <v>2.666666666666667</v>
      </c>
      <c r="O888" s="389">
        <v>16</v>
      </c>
      <c r="P888" s="430">
        <f>SUM(O888/L888)*100</f>
        <v>2.666666666666667</v>
      </c>
      <c r="Q888" s="389">
        <v>16</v>
      </c>
      <c r="R888" s="430">
        <f>SUM(Q888/L888)*100</f>
        <v>2.666666666666667</v>
      </c>
      <c r="S888" s="389">
        <v>32</v>
      </c>
      <c r="T888" s="430">
        <f>SUM(S888/L888)*100</f>
        <v>5.333333333333334</v>
      </c>
      <c r="U888" s="389">
        <v>32</v>
      </c>
      <c r="V888" s="389"/>
    </row>
    <row r="889" spans="1:22" s="131" customFormat="1" ht="12.75">
      <c r="A889" s="261"/>
      <c r="B889" s="646" t="s">
        <v>699</v>
      </c>
      <c r="C889" s="158"/>
      <c r="D889" s="24"/>
      <c r="E889" s="24"/>
      <c r="F889" s="58"/>
      <c r="G889" s="304">
        <v>0</v>
      </c>
      <c r="H889" s="24">
        <v>200</v>
      </c>
      <c r="I889" s="71">
        <v>200</v>
      </c>
      <c r="J889" s="24">
        <v>0</v>
      </c>
      <c r="K889" s="71">
        <v>200</v>
      </c>
      <c r="L889" s="92">
        <v>200</v>
      </c>
      <c r="M889" s="389"/>
      <c r="N889" s="430"/>
      <c r="O889" s="389"/>
      <c r="P889" s="549"/>
      <c r="Q889" s="389"/>
      <c r="R889" s="549"/>
      <c r="S889" s="389"/>
      <c r="T889" s="549"/>
      <c r="U889" s="389"/>
      <c r="V889" s="389"/>
    </row>
    <row r="890" spans="1:22" s="131" customFormat="1" ht="12.75">
      <c r="A890" s="261"/>
      <c r="B890" s="646" t="s">
        <v>915</v>
      </c>
      <c r="C890" s="158"/>
      <c r="D890" s="24"/>
      <c r="E890" s="24"/>
      <c r="F890" s="58"/>
      <c r="G890" s="304"/>
      <c r="H890" s="24"/>
      <c r="I890" s="71"/>
      <c r="J890" s="24"/>
      <c r="K890" s="71"/>
      <c r="L890" s="92">
        <v>1000</v>
      </c>
      <c r="M890" s="389"/>
      <c r="N890" s="430"/>
      <c r="O890" s="389"/>
      <c r="P890" s="549"/>
      <c r="Q890" s="389"/>
      <c r="R890" s="549"/>
      <c r="S890" s="389"/>
      <c r="T890" s="549"/>
      <c r="U890" s="389"/>
      <c r="V890" s="389"/>
    </row>
    <row r="891" spans="1:22" s="131" customFormat="1" ht="12.75">
      <c r="A891" s="261"/>
      <c r="B891" s="262" t="s">
        <v>494</v>
      </c>
      <c r="C891" s="158"/>
      <c r="D891" s="24"/>
      <c r="E891" s="24"/>
      <c r="F891" s="58"/>
      <c r="G891" s="304"/>
      <c r="H891" s="91">
        <v>60000</v>
      </c>
      <c r="I891" s="92">
        <v>60000</v>
      </c>
      <c r="J891" s="91">
        <v>0</v>
      </c>
      <c r="K891" s="92">
        <v>60000</v>
      </c>
      <c r="L891" s="92">
        <v>30000</v>
      </c>
      <c r="M891" s="389">
        <v>3000</v>
      </c>
      <c r="N891" s="430">
        <f>SUM(M891/L891)*100</f>
        <v>10</v>
      </c>
      <c r="O891" s="389">
        <v>3000</v>
      </c>
      <c r="P891" s="430">
        <f>SUM(O891/L891)*100</f>
        <v>10</v>
      </c>
      <c r="Q891" s="389"/>
      <c r="R891" s="549"/>
      <c r="S891" s="389"/>
      <c r="T891" s="549"/>
      <c r="U891" s="389"/>
      <c r="V891" s="389"/>
    </row>
    <row r="892" spans="1:22" s="131" customFormat="1" ht="12.75">
      <c r="A892" s="261"/>
      <c r="B892" s="262" t="s">
        <v>495</v>
      </c>
      <c r="C892" s="158"/>
      <c r="D892" s="24"/>
      <c r="E892" s="24"/>
      <c r="F892" s="58"/>
      <c r="G892" s="304"/>
      <c r="H892" s="91"/>
      <c r="I892" s="92"/>
      <c r="J892" s="91"/>
      <c r="K892" s="92">
        <v>51000</v>
      </c>
      <c r="L892" s="92">
        <v>81000</v>
      </c>
      <c r="M892" s="389">
        <v>51544</v>
      </c>
      <c r="N892" s="430">
        <f>SUM(M892/L892)*100</f>
        <v>63.634567901234576</v>
      </c>
      <c r="O892" s="389">
        <v>51544</v>
      </c>
      <c r="P892" s="430">
        <f>SUM(O892/L892)*100</f>
        <v>63.634567901234576</v>
      </c>
      <c r="Q892" s="389">
        <v>57338</v>
      </c>
      <c r="R892" s="430">
        <f>SUM(Q892/L892)*100</f>
        <v>70.78765432098766</v>
      </c>
      <c r="S892" s="389">
        <v>57338</v>
      </c>
      <c r="T892" s="430">
        <f>SUM(S892/L892)*100</f>
        <v>70.78765432098766</v>
      </c>
      <c r="U892" s="389">
        <v>57338</v>
      </c>
      <c r="V892" s="389"/>
    </row>
    <row r="893" spans="1:22" s="131" customFormat="1" ht="12.75">
      <c r="A893" s="261"/>
      <c r="B893" s="262" t="s">
        <v>736</v>
      </c>
      <c r="C893" s="158"/>
      <c r="D893" s="24"/>
      <c r="E893" s="24"/>
      <c r="F893" s="58"/>
      <c r="G893" s="304"/>
      <c r="H893" s="91"/>
      <c r="I893" s="71"/>
      <c r="J893" s="24"/>
      <c r="K893" s="23"/>
      <c r="L893" s="92">
        <v>2000</v>
      </c>
      <c r="M893" s="91"/>
      <c r="N893" s="430"/>
      <c r="O893" s="389"/>
      <c r="P893" s="549"/>
      <c r="Q893" s="389"/>
      <c r="R893" s="549"/>
      <c r="S893" s="389"/>
      <c r="T893" s="549"/>
      <c r="U893" s="389"/>
      <c r="V893" s="389"/>
    </row>
    <row r="894" spans="1:22" s="131" customFormat="1" ht="12.75">
      <c r="A894" s="261"/>
      <c r="B894" s="262" t="s">
        <v>737</v>
      </c>
      <c r="C894" s="158"/>
      <c r="D894" s="24"/>
      <c r="E894" s="24"/>
      <c r="F894" s="58"/>
      <c r="G894" s="304"/>
      <c r="H894" s="91"/>
      <c r="I894" s="71"/>
      <c r="J894" s="24"/>
      <c r="K894" s="23"/>
      <c r="L894" s="92">
        <v>3000</v>
      </c>
      <c r="M894" s="91"/>
      <c r="N894" s="430"/>
      <c r="O894" s="389"/>
      <c r="P894" s="549"/>
      <c r="Q894" s="389">
        <v>3000</v>
      </c>
      <c r="R894" s="430">
        <f>SUM(Q894/L894)*100</f>
        <v>100</v>
      </c>
      <c r="S894" s="389">
        <v>3000</v>
      </c>
      <c r="T894" s="430">
        <f>SUM(S894/L894)*100</f>
        <v>100</v>
      </c>
      <c r="U894" s="389">
        <v>3000</v>
      </c>
      <c r="V894" s="389"/>
    </row>
    <row r="895" spans="1:20" ht="12.75">
      <c r="A895" s="311"/>
      <c r="B895" s="313"/>
      <c r="C895" s="312"/>
      <c r="D895" s="12"/>
      <c r="E895" s="12"/>
      <c r="F895" s="13"/>
      <c r="G895" s="155"/>
      <c r="H895" s="201"/>
      <c r="I895" s="14"/>
      <c r="J895" s="12"/>
      <c r="K895" s="11"/>
      <c r="L895" s="26"/>
      <c r="M895" s="52"/>
      <c r="N895" s="425"/>
      <c r="P895" s="547"/>
      <c r="R895" s="547"/>
      <c r="T895" s="547"/>
    </row>
    <row r="896" spans="1:22" s="131" customFormat="1" ht="12.75">
      <c r="A896" s="302">
        <v>716</v>
      </c>
      <c r="B896" s="244" t="s">
        <v>496</v>
      </c>
      <c r="C896" s="269"/>
      <c r="D896" s="24"/>
      <c r="E896" s="24"/>
      <c r="F896" s="58"/>
      <c r="G896" s="298">
        <f>SUM(G897:G900)</f>
        <v>0</v>
      </c>
      <c r="H896" s="51">
        <f>200+300</f>
        <v>500</v>
      </c>
      <c r="I896" s="50">
        <f>SUM(I897:I899)</f>
        <v>4486</v>
      </c>
      <c r="J896" s="51">
        <f>SUM(J897:J899)</f>
        <v>1023</v>
      </c>
      <c r="K896" s="50">
        <f>SUM(K897:K900)+1588</f>
        <v>10318</v>
      </c>
      <c r="L896" s="50">
        <f>SUM(L897:L906)</f>
        <v>13666</v>
      </c>
      <c r="M896" s="197">
        <f>SUM(M897:M900)</f>
        <v>741</v>
      </c>
      <c r="N896" s="433">
        <f>SUM(M896/L896)*100</f>
        <v>5.422215717839895</v>
      </c>
      <c r="O896" s="197">
        <f>SUM(O897:O900)</f>
        <v>1081</v>
      </c>
      <c r="P896" s="433">
        <f>SUM(O896/L896)*100</f>
        <v>7.910141958144299</v>
      </c>
      <c r="Q896" s="197">
        <f>SUM(Q897:Q904)</f>
        <v>1433</v>
      </c>
      <c r="R896" s="433">
        <f>SUM(Q896/L896)*100</f>
        <v>10.485877359871214</v>
      </c>
      <c r="S896" s="197">
        <f>SUM(S897:S904)</f>
        <v>1435</v>
      </c>
      <c r="T896" s="433">
        <f>SUM(S896/L896)*100</f>
        <v>10.500512220108298</v>
      </c>
      <c r="U896" s="197">
        <f>SUM(U897:U904)</f>
        <v>3174</v>
      </c>
      <c r="V896" s="389"/>
    </row>
    <row r="897" spans="1:22" s="131" customFormat="1" ht="12.75">
      <c r="A897" s="261"/>
      <c r="B897" s="158" t="s">
        <v>497</v>
      </c>
      <c r="C897" s="158"/>
      <c r="D897" s="24"/>
      <c r="E897" s="24"/>
      <c r="F897" s="58"/>
      <c r="G897" s="304"/>
      <c r="H897" s="91">
        <v>300</v>
      </c>
      <c r="I897" s="92">
        <v>300</v>
      </c>
      <c r="J897" s="91">
        <v>0</v>
      </c>
      <c r="K897" s="71">
        <v>230</v>
      </c>
      <c r="L897" s="92">
        <v>0</v>
      </c>
      <c r="M897" s="389"/>
      <c r="N897" s="430"/>
      <c r="O897" s="389"/>
      <c r="P897" s="549"/>
      <c r="Q897" s="389"/>
      <c r="R897" s="549"/>
      <c r="S897" s="389"/>
      <c r="T897" s="549"/>
      <c r="U897" s="389"/>
      <c r="V897" s="389"/>
    </row>
    <row r="898" spans="1:22" s="131" customFormat="1" ht="12.75">
      <c r="A898" s="261"/>
      <c r="B898" s="262" t="s">
        <v>498</v>
      </c>
      <c r="C898" s="158"/>
      <c r="D898" s="24"/>
      <c r="E898" s="24"/>
      <c r="F898" s="58"/>
      <c r="G898" s="304"/>
      <c r="H898" s="91">
        <v>0</v>
      </c>
      <c r="I898" s="92">
        <v>3384</v>
      </c>
      <c r="J898" s="91">
        <v>1023</v>
      </c>
      <c r="K898" s="92">
        <v>7500</v>
      </c>
      <c r="L898" s="92">
        <v>9000</v>
      </c>
      <c r="M898" s="389">
        <v>659</v>
      </c>
      <c r="N898" s="430">
        <f>SUM(M898/L898)*100</f>
        <v>7.322222222222222</v>
      </c>
      <c r="O898" s="389">
        <v>708</v>
      </c>
      <c r="P898" s="430">
        <f>SUM(O898/L898)*100</f>
        <v>7.866666666666666</v>
      </c>
      <c r="Q898" s="389">
        <v>735</v>
      </c>
      <c r="R898" s="430">
        <f>SUM(Q898/L898)*100</f>
        <v>8.166666666666666</v>
      </c>
      <c r="S898" s="389">
        <v>737</v>
      </c>
      <c r="T898" s="430">
        <f>SUM(S898/L898)*100</f>
        <v>8.188888888888888</v>
      </c>
      <c r="U898" s="389">
        <v>2024</v>
      </c>
      <c r="V898" s="389"/>
    </row>
    <row r="899" spans="1:22" s="131" customFormat="1" ht="12.75">
      <c r="A899" s="261"/>
      <c r="B899" s="262" t="s">
        <v>499</v>
      </c>
      <c r="C899" s="158"/>
      <c r="D899" s="24"/>
      <c r="E899" s="24"/>
      <c r="F899" s="58"/>
      <c r="G899" s="304"/>
      <c r="H899" s="91">
        <v>0</v>
      </c>
      <c r="I899" s="71">
        <v>802</v>
      </c>
      <c r="J899" s="24">
        <v>0</v>
      </c>
      <c r="K899" s="71">
        <v>1000</v>
      </c>
      <c r="L899" s="92">
        <v>1000</v>
      </c>
      <c r="M899" s="389">
        <v>40</v>
      </c>
      <c r="N899" s="430">
        <f>SUM(M899/L899)*100</f>
        <v>4</v>
      </c>
      <c r="O899" s="389">
        <v>331</v>
      </c>
      <c r="P899" s="430">
        <f>SUM(O899/L899)*100</f>
        <v>33.1</v>
      </c>
      <c r="Q899" s="389">
        <v>576</v>
      </c>
      <c r="R899" s="430">
        <f>SUM(Q899/L899)*100</f>
        <v>57.599999999999994</v>
      </c>
      <c r="S899" s="389">
        <v>576</v>
      </c>
      <c r="T899" s="430">
        <f>SUM(S899/L899)*100</f>
        <v>57.599999999999994</v>
      </c>
      <c r="U899" s="389">
        <v>1028</v>
      </c>
      <c r="V899" s="389"/>
    </row>
    <row r="900" spans="1:22" s="131" customFormat="1" ht="12.75">
      <c r="A900" s="261"/>
      <c r="B900" s="262" t="s">
        <v>500</v>
      </c>
      <c r="C900" s="158"/>
      <c r="D900" s="24"/>
      <c r="E900" s="24"/>
      <c r="F900" s="58"/>
      <c r="G900" s="304"/>
      <c r="H900" s="91"/>
      <c r="I900" s="71"/>
      <c r="J900" s="24"/>
      <c r="K900" s="71"/>
      <c r="L900" s="92">
        <v>303</v>
      </c>
      <c r="M900" s="389">
        <v>42</v>
      </c>
      <c r="N900" s="430">
        <f>SUM(M900/L900)*100</f>
        <v>13.861386138613863</v>
      </c>
      <c r="O900" s="389">
        <v>42</v>
      </c>
      <c r="P900" s="430">
        <f>SUM(O900/L900)*100</f>
        <v>13.861386138613863</v>
      </c>
      <c r="Q900" s="389">
        <v>42</v>
      </c>
      <c r="R900" s="430">
        <f>SUM(Q900/L900)*100</f>
        <v>13.861386138613863</v>
      </c>
      <c r="S900" s="389">
        <v>42</v>
      </c>
      <c r="T900" s="430">
        <f>SUM(S900/L900)*100</f>
        <v>13.861386138613863</v>
      </c>
      <c r="U900" s="389">
        <v>42</v>
      </c>
      <c r="V900" s="389"/>
    </row>
    <row r="901" spans="1:22" s="131" customFormat="1" ht="12.75">
      <c r="A901" s="261"/>
      <c r="B901" s="262" t="s">
        <v>738</v>
      </c>
      <c r="C901" s="158"/>
      <c r="D901" s="24"/>
      <c r="E901" s="24"/>
      <c r="F901" s="58"/>
      <c r="G901" s="304"/>
      <c r="H901" s="91"/>
      <c r="I901" s="71"/>
      <c r="J901" s="24"/>
      <c r="K901" s="71"/>
      <c r="L901" s="92">
        <v>1138</v>
      </c>
      <c r="M901" s="389"/>
      <c r="N901" s="430"/>
      <c r="O901" s="389"/>
      <c r="P901" s="549"/>
      <c r="Q901" s="389"/>
      <c r="R901" s="549"/>
      <c r="S901" s="389"/>
      <c r="T901" s="549"/>
      <c r="U901" s="389"/>
      <c r="V901" s="389"/>
    </row>
    <row r="902" spans="1:22" s="131" customFormat="1" ht="12.75">
      <c r="A902" s="261"/>
      <c r="B902" s="262" t="s">
        <v>739</v>
      </c>
      <c r="C902" s="158"/>
      <c r="D902" s="24"/>
      <c r="E902" s="24"/>
      <c r="F902" s="58"/>
      <c r="G902" s="304"/>
      <c r="H902" s="91"/>
      <c r="I902" s="71"/>
      <c r="J902" s="24"/>
      <c r="K902" s="71"/>
      <c r="L902" s="92">
        <v>1470</v>
      </c>
      <c r="M902" s="389"/>
      <c r="N902" s="430"/>
      <c r="O902" s="389"/>
      <c r="P902" s="549"/>
      <c r="Q902" s="389"/>
      <c r="R902" s="549"/>
      <c r="S902" s="389"/>
      <c r="T902" s="549"/>
      <c r="U902" s="389"/>
      <c r="V902" s="389"/>
    </row>
    <row r="903" spans="1:22" s="131" customFormat="1" ht="12.75">
      <c r="A903" s="261"/>
      <c r="B903" s="262" t="s">
        <v>740</v>
      </c>
      <c r="C903" s="158"/>
      <c r="D903" s="24"/>
      <c r="E903" s="24"/>
      <c r="F903" s="58"/>
      <c r="G903" s="304"/>
      <c r="H903" s="91"/>
      <c r="I903" s="71"/>
      <c r="J903" s="24"/>
      <c r="K903" s="71"/>
      <c r="L903" s="92">
        <v>85</v>
      </c>
      <c r="M903" s="389"/>
      <c r="N903" s="430"/>
      <c r="O903" s="389"/>
      <c r="P903" s="549"/>
      <c r="Q903" s="389">
        <v>80</v>
      </c>
      <c r="R903" s="430">
        <f>SUM(Q903/L903)*100</f>
        <v>94.11764705882352</v>
      </c>
      <c r="S903" s="389">
        <v>80</v>
      </c>
      <c r="T903" s="430">
        <f>SUM(S903/L903)*100</f>
        <v>94.11764705882352</v>
      </c>
      <c r="U903" s="389">
        <v>80</v>
      </c>
      <c r="V903" s="389"/>
    </row>
    <row r="904" spans="1:22" s="131" customFormat="1" ht="12.75">
      <c r="A904" s="261"/>
      <c r="B904" s="262" t="s">
        <v>741</v>
      </c>
      <c r="C904" s="158"/>
      <c r="D904" s="24"/>
      <c r="E904" s="24"/>
      <c r="F904" s="58"/>
      <c r="G904" s="304"/>
      <c r="H904" s="91"/>
      <c r="I904" s="71"/>
      <c r="J904" s="24"/>
      <c r="K904" s="71"/>
      <c r="L904" s="92">
        <v>190</v>
      </c>
      <c r="M904" s="389"/>
      <c r="N904" s="430"/>
      <c r="O904" s="389"/>
      <c r="P904" s="549"/>
      <c r="Q904" s="389"/>
      <c r="R904" s="549"/>
      <c r="S904" s="389"/>
      <c r="T904" s="549"/>
      <c r="U904" s="389"/>
      <c r="V904" s="389"/>
    </row>
    <row r="905" spans="1:22" s="131" customFormat="1" ht="12.75">
      <c r="A905" s="261"/>
      <c r="B905" s="262" t="s">
        <v>916</v>
      </c>
      <c r="C905" s="158"/>
      <c r="D905" s="24"/>
      <c r="E905" s="24"/>
      <c r="F905" s="58"/>
      <c r="G905" s="304"/>
      <c r="H905" s="91"/>
      <c r="I905" s="71"/>
      <c r="J905" s="24"/>
      <c r="K905" s="71"/>
      <c r="L905" s="92">
        <v>450</v>
      </c>
      <c r="M905" s="389"/>
      <c r="N905" s="430"/>
      <c r="O905" s="389"/>
      <c r="P905" s="549"/>
      <c r="Q905" s="389"/>
      <c r="R905" s="549"/>
      <c r="S905" s="389"/>
      <c r="T905" s="549"/>
      <c r="U905" s="389"/>
      <c r="V905" s="389"/>
    </row>
    <row r="906" spans="1:22" s="131" customFormat="1" ht="12.75">
      <c r="A906" s="261"/>
      <c r="B906" s="262" t="s">
        <v>917</v>
      </c>
      <c r="C906" s="158"/>
      <c r="D906" s="24"/>
      <c r="E906" s="24"/>
      <c r="F906" s="58"/>
      <c r="G906" s="304"/>
      <c r="H906" s="91"/>
      <c r="I906" s="71"/>
      <c r="J906" s="24"/>
      <c r="K906" s="71"/>
      <c r="L906" s="92">
        <v>30</v>
      </c>
      <c r="M906" s="389"/>
      <c r="N906" s="430"/>
      <c r="O906" s="389"/>
      <c r="P906" s="549"/>
      <c r="Q906" s="389"/>
      <c r="R906" s="549"/>
      <c r="S906" s="389"/>
      <c r="T906" s="549"/>
      <c r="U906" s="389"/>
      <c r="V906" s="389"/>
    </row>
    <row r="907" spans="1:20" ht="12.75">
      <c r="A907" s="290"/>
      <c r="B907" s="310"/>
      <c r="C907" s="306"/>
      <c r="D907" s="12"/>
      <c r="E907" s="12"/>
      <c r="F907" s="13"/>
      <c r="G907" s="155"/>
      <c r="H907" s="52"/>
      <c r="I907" s="14"/>
      <c r="J907" s="12"/>
      <c r="K907" s="14"/>
      <c r="L907" s="26"/>
      <c r="N907" s="425"/>
      <c r="P907" s="547"/>
      <c r="R907" s="547"/>
      <c r="T907" s="547"/>
    </row>
    <row r="908" spans="1:21" ht="12.75">
      <c r="A908" s="66">
        <v>717</v>
      </c>
      <c r="B908" s="199" t="s">
        <v>457</v>
      </c>
      <c r="C908" s="49"/>
      <c r="D908" s="12"/>
      <c r="E908" s="12"/>
      <c r="F908" s="13"/>
      <c r="G908" s="305">
        <f>SUM(G909:G918)</f>
        <v>532</v>
      </c>
      <c r="H908" s="194">
        <f>SUM(H909:H918)</f>
        <v>700</v>
      </c>
      <c r="I908" s="193">
        <f>SUM(I909:I918)</f>
        <v>31920</v>
      </c>
      <c r="J908" s="194">
        <f>SUM(J909:J918)</f>
        <v>288</v>
      </c>
      <c r="K908" s="193">
        <f>73077+750+400+22216</f>
        <v>96443</v>
      </c>
      <c r="L908" s="50">
        <f>SUM(L909:L918)</f>
        <v>245027</v>
      </c>
      <c r="M908" s="389"/>
      <c r="N908" s="430"/>
      <c r="O908" s="197">
        <f>SUM(O909:O918)</f>
        <v>725</v>
      </c>
      <c r="P908" s="433">
        <f>SUM(O908/L908)*100</f>
        <v>0.29588575952854174</v>
      </c>
      <c r="Q908" s="197">
        <f>SUM(Q909:Q918)</f>
        <v>1577</v>
      </c>
      <c r="R908" s="433">
        <f>SUM(Q908/L908)*100</f>
        <v>0.6436025417607039</v>
      </c>
      <c r="S908" s="197">
        <f>SUM(S909:S918)</f>
        <v>1578</v>
      </c>
      <c r="T908" s="433">
        <f>SUM(S908/L908)*100</f>
        <v>0.6440106600497087</v>
      </c>
      <c r="U908" s="197">
        <f>SUM(U909:U918)</f>
        <v>2126</v>
      </c>
    </row>
    <row r="909" spans="1:20" ht="12.75">
      <c r="A909" s="71">
        <v>717001</v>
      </c>
      <c r="B909" s="125" t="s">
        <v>869</v>
      </c>
      <c r="C909" s="24"/>
      <c r="D909" s="24"/>
      <c r="E909" s="24"/>
      <c r="F909" s="58"/>
      <c r="G909" s="155"/>
      <c r="H909" s="91"/>
      <c r="I909" s="14"/>
      <c r="J909" s="12"/>
      <c r="K909" s="14"/>
      <c r="L909" s="26"/>
      <c r="N909" s="425"/>
      <c r="O909" s="31">
        <v>725</v>
      </c>
      <c r="P909" s="547"/>
      <c r="R909" s="547"/>
      <c r="T909" s="547"/>
    </row>
    <row r="910" spans="1:21" ht="12.75">
      <c r="A910" s="71"/>
      <c r="B910" s="23" t="s">
        <v>870</v>
      </c>
      <c r="C910" s="24"/>
      <c r="D910" s="24"/>
      <c r="E910" s="24"/>
      <c r="F910" s="58"/>
      <c r="G910" s="155">
        <v>532</v>
      </c>
      <c r="H910" s="91">
        <v>700</v>
      </c>
      <c r="I910" s="14">
        <f>820+600</f>
        <v>1420</v>
      </c>
      <c r="J910" s="12">
        <v>288</v>
      </c>
      <c r="K910" s="14"/>
      <c r="L910" s="26">
        <v>750</v>
      </c>
      <c r="N910" s="425"/>
      <c r="P910" s="547"/>
      <c r="Q910" s="31">
        <v>377</v>
      </c>
      <c r="R910" s="547"/>
      <c r="S910" s="31">
        <v>378</v>
      </c>
      <c r="T910" s="430">
        <f>SUM(S910/L910)*100</f>
        <v>50.4</v>
      </c>
      <c r="U910" s="31">
        <v>378</v>
      </c>
    </row>
    <row r="911" spans="1:20" ht="12.75">
      <c r="A911" s="71"/>
      <c r="B911" s="11" t="s">
        <v>498</v>
      </c>
      <c r="C911" s="24"/>
      <c r="D911" s="24"/>
      <c r="E911" s="24"/>
      <c r="F911" s="58"/>
      <c r="G911" s="155">
        <v>0</v>
      </c>
      <c r="H911" s="91">
        <v>0</v>
      </c>
      <c r="I911" s="26">
        <v>30500</v>
      </c>
      <c r="J911" s="52">
        <v>0</v>
      </c>
      <c r="K911" s="26"/>
      <c r="L911" s="26">
        <v>30000</v>
      </c>
      <c r="N911" s="425"/>
      <c r="P911" s="547"/>
      <c r="R911" s="547"/>
      <c r="T911" s="547"/>
    </row>
    <row r="912" spans="1:20" ht="12.75">
      <c r="A912" s="71"/>
      <c r="B912" s="262" t="s">
        <v>501</v>
      </c>
      <c r="C912" s="158"/>
      <c r="D912" s="24"/>
      <c r="E912" s="24"/>
      <c r="F912" s="58"/>
      <c r="G912" s="155"/>
      <c r="H912" s="91"/>
      <c r="I912" s="14"/>
      <c r="J912" s="12"/>
      <c r="K912" s="14"/>
      <c r="L912" s="26">
        <v>21000</v>
      </c>
      <c r="N912" s="425"/>
      <c r="P912" s="547"/>
      <c r="R912" s="547"/>
      <c r="T912" s="547"/>
    </row>
    <row r="913" spans="1:21" ht="12.75">
      <c r="A913" s="71"/>
      <c r="B913" s="11" t="s">
        <v>502</v>
      </c>
      <c r="C913" s="24"/>
      <c r="D913" s="24"/>
      <c r="E913" s="24"/>
      <c r="F913" s="58"/>
      <c r="G913" s="155">
        <v>0</v>
      </c>
      <c r="H913" s="91">
        <v>0</v>
      </c>
      <c r="I913" s="14">
        <v>0</v>
      </c>
      <c r="J913" s="12">
        <v>0</v>
      </c>
      <c r="K913" s="14">
        <v>0</v>
      </c>
      <c r="L913" s="26">
        <v>9665</v>
      </c>
      <c r="N913" s="425"/>
      <c r="P913" s="547"/>
      <c r="Q913" s="31">
        <v>800</v>
      </c>
      <c r="R913" s="430">
        <f>SUM(Q913/L913)*100</f>
        <v>8.277289187790998</v>
      </c>
      <c r="S913" s="31">
        <v>800</v>
      </c>
      <c r="T913" s="430">
        <f>SUM(S913/L913)*100</f>
        <v>8.277289187790998</v>
      </c>
      <c r="U913" s="31">
        <v>800</v>
      </c>
    </row>
    <row r="914" spans="1:20" ht="12.75">
      <c r="A914" s="71"/>
      <c r="B914" s="11" t="s">
        <v>742</v>
      </c>
      <c r="C914" s="24"/>
      <c r="D914" s="24"/>
      <c r="E914" s="24"/>
      <c r="F914" s="58"/>
      <c r="G914" s="155"/>
      <c r="H914" s="91"/>
      <c r="I914" s="14"/>
      <c r="J914" s="12"/>
      <c r="K914" s="14"/>
      <c r="L914" s="26">
        <v>150439</v>
      </c>
      <c r="N914" s="425"/>
      <c r="P914" s="547"/>
      <c r="R914" s="547"/>
      <c r="T914" s="547"/>
    </row>
    <row r="915" spans="1:21" ht="12.75">
      <c r="A915" s="71">
        <v>717002</v>
      </c>
      <c r="B915" s="11" t="s">
        <v>743</v>
      </c>
      <c r="C915" s="24"/>
      <c r="D915" s="24"/>
      <c r="E915" s="24"/>
      <c r="F915" s="58"/>
      <c r="G915" s="155"/>
      <c r="H915" s="91"/>
      <c r="I915" s="14"/>
      <c r="J915" s="12"/>
      <c r="K915" s="14"/>
      <c r="L915" s="26">
        <v>2350</v>
      </c>
      <c r="N915" s="425"/>
      <c r="P915" s="547"/>
      <c r="Q915" s="31">
        <v>400</v>
      </c>
      <c r="R915" s="430">
        <f>SUM(Q915/L915)*100</f>
        <v>17.02127659574468</v>
      </c>
      <c r="S915" s="31">
        <v>400</v>
      </c>
      <c r="T915" s="430">
        <f>SUM(S915/L915)*100</f>
        <v>17.02127659574468</v>
      </c>
      <c r="U915" s="31">
        <v>904</v>
      </c>
    </row>
    <row r="916" spans="1:21" ht="12.75">
      <c r="A916" s="71"/>
      <c r="B916" s="11" t="s">
        <v>918</v>
      </c>
      <c r="C916" s="24"/>
      <c r="D916" s="24"/>
      <c r="E916" s="24"/>
      <c r="F916" s="58"/>
      <c r="G916" s="155"/>
      <c r="H916" s="91"/>
      <c r="I916" s="14"/>
      <c r="J916" s="12"/>
      <c r="K916" s="14"/>
      <c r="L916" s="26">
        <v>3000</v>
      </c>
      <c r="N916" s="425"/>
      <c r="P916" s="547"/>
      <c r="R916" s="430"/>
      <c r="T916" s="547"/>
      <c r="U916" s="31">
        <v>44</v>
      </c>
    </row>
    <row r="917" spans="1:20" ht="12.75">
      <c r="A917" s="71"/>
      <c r="B917" s="11" t="s">
        <v>919</v>
      </c>
      <c r="C917" s="24"/>
      <c r="D917" s="24"/>
      <c r="E917" s="24"/>
      <c r="F917" s="58"/>
      <c r="G917" s="155"/>
      <c r="H917" s="91"/>
      <c r="I917" s="14"/>
      <c r="J917" s="12"/>
      <c r="K917" s="14"/>
      <c r="L917" s="26">
        <v>333</v>
      </c>
      <c r="N917" s="425"/>
      <c r="P917" s="547"/>
      <c r="R917" s="430"/>
      <c r="T917" s="547"/>
    </row>
    <row r="918" spans="1:20" ht="13.5" thickBot="1">
      <c r="A918" s="263">
        <v>717003</v>
      </c>
      <c r="B918" s="18" t="s">
        <v>503</v>
      </c>
      <c r="C918" s="19"/>
      <c r="D918" s="19"/>
      <c r="E918" s="19"/>
      <c r="F918" s="20"/>
      <c r="G918" s="170"/>
      <c r="H918" s="99"/>
      <c r="I918" s="27"/>
      <c r="J918" s="99"/>
      <c r="K918" s="21"/>
      <c r="L918" s="27">
        <v>27490</v>
      </c>
      <c r="M918" s="411"/>
      <c r="N918" s="429"/>
      <c r="O918" s="411"/>
      <c r="P918" s="548"/>
      <c r="Q918" s="411"/>
      <c r="R918" s="548"/>
      <c r="S918" s="411"/>
      <c r="T918" s="548"/>
    </row>
    <row r="920" ht="12.75">
      <c r="A920" t="s">
        <v>871</v>
      </c>
    </row>
    <row r="921" ht="12.75">
      <c r="A921" t="s">
        <v>872</v>
      </c>
    </row>
    <row r="922" ht="12.75">
      <c r="A922" s="88" t="s">
        <v>873</v>
      </c>
    </row>
    <row r="923" ht="12.75">
      <c r="A923" t="s">
        <v>874</v>
      </c>
    </row>
    <row r="924" spans="1:16" ht="12.75">
      <c r="A924" s="158"/>
      <c r="B924" s="158"/>
      <c r="C924" s="306"/>
      <c r="D924" s="162"/>
      <c r="E924" s="162"/>
      <c r="F924" s="162"/>
      <c r="G924" s="158"/>
      <c r="H924" s="158"/>
      <c r="I924" s="158"/>
      <c r="J924" s="158"/>
      <c r="O924" s="575"/>
      <c r="P924" s="314"/>
    </row>
    <row r="925" spans="1:16" ht="13.5" thickBot="1">
      <c r="A925" s="158"/>
      <c r="B925" s="158"/>
      <c r="C925" s="306"/>
      <c r="D925" s="162"/>
      <c r="E925" s="162"/>
      <c r="F925" s="162"/>
      <c r="G925" s="158"/>
      <c r="H925" s="158"/>
      <c r="I925" s="158"/>
      <c r="J925" s="158"/>
      <c r="O925" s="575"/>
      <c r="P925" s="314"/>
    </row>
    <row r="926" spans="1:22" ht="13.5" thickBot="1">
      <c r="A926" s="177" t="s">
        <v>44</v>
      </c>
      <c r="B926" s="178"/>
      <c r="C926" s="178"/>
      <c r="D926" s="179"/>
      <c r="E926" s="179"/>
      <c r="F926" s="179"/>
      <c r="G926" s="15" t="s">
        <v>23</v>
      </c>
      <c r="H926" s="136"/>
      <c r="I926" s="137" t="s">
        <v>395</v>
      </c>
      <c r="J926" s="216"/>
      <c r="K926" s="10" t="s">
        <v>25</v>
      </c>
      <c r="L926" s="238" t="s">
        <v>645</v>
      </c>
      <c r="M926" s="403" t="s">
        <v>296</v>
      </c>
      <c r="N926" s="426" t="s">
        <v>684</v>
      </c>
      <c r="O926" s="403" t="s">
        <v>296</v>
      </c>
      <c r="P926" s="426" t="s">
        <v>683</v>
      </c>
      <c r="Q926" s="415" t="s">
        <v>296</v>
      </c>
      <c r="R926" s="426" t="s">
        <v>681</v>
      </c>
      <c r="S926" s="403" t="s">
        <v>296</v>
      </c>
      <c r="T926" s="421" t="s">
        <v>681</v>
      </c>
      <c r="U926" s="403" t="s">
        <v>296</v>
      </c>
      <c r="V926" s="30" t="s">
        <v>681</v>
      </c>
    </row>
    <row r="927" spans="1:22" ht="16.5" thickTop="1">
      <c r="A927" s="239" t="s">
        <v>175</v>
      </c>
      <c r="B927" s="181" t="s">
        <v>177</v>
      </c>
      <c r="C927" s="182"/>
      <c r="D927" s="12"/>
      <c r="E927" s="12"/>
      <c r="F927" s="12"/>
      <c r="G927" s="11" t="s">
        <v>45</v>
      </c>
      <c r="H927" s="32" t="s">
        <v>27</v>
      </c>
      <c r="I927" s="6" t="s">
        <v>92</v>
      </c>
      <c r="J927" s="108" t="s">
        <v>29</v>
      </c>
      <c r="K927" s="33" t="s">
        <v>46</v>
      </c>
      <c r="L927" s="208"/>
      <c r="M927" s="25" t="s">
        <v>297</v>
      </c>
      <c r="N927" s="425"/>
      <c r="O927" s="25" t="s">
        <v>750</v>
      </c>
      <c r="P927" s="547"/>
      <c r="Q927" s="416" t="s">
        <v>896</v>
      </c>
      <c r="R927" s="547"/>
      <c r="S927" s="25" t="s">
        <v>957</v>
      </c>
      <c r="T927" s="422"/>
      <c r="U927" s="25" t="s">
        <v>252</v>
      </c>
      <c r="V927" s="26"/>
    </row>
    <row r="928" spans="1:22" ht="13.5" thickBot="1">
      <c r="A928" s="183"/>
      <c r="B928" s="184"/>
      <c r="C928" s="185"/>
      <c r="D928" s="37"/>
      <c r="E928" s="37"/>
      <c r="F928" s="37"/>
      <c r="G928" s="83"/>
      <c r="H928" s="84">
        <v>38335</v>
      </c>
      <c r="I928" s="148">
        <v>38587</v>
      </c>
      <c r="J928" s="110" t="s">
        <v>31</v>
      </c>
      <c r="K928" s="33" t="s">
        <v>32</v>
      </c>
      <c r="L928" s="242"/>
      <c r="M928" s="404"/>
      <c r="N928" s="429"/>
      <c r="O928" s="404"/>
      <c r="P928" s="548"/>
      <c r="Q928" s="411"/>
      <c r="R928" s="548"/>
      <c r="S928" s="404"/>
      <c r="T928" s="423"/>
      <c r="U928" s="404"/>
      <c r="V928" s="27"/>
    </row>
    <row r="929" spans="1:20" ht="13.5" thickBot="1">
      <c r="A929" s="186" t="s">
        <v>47</v>
      </c>
      <c r="B929" s="187"/>
      <c r="C929" s="39"/>
      <c r="D929" s="188" t="s">
        <v>48</v>
      </c>
      <c r="E929" s="19"/>
      <c r="F929" s="19"/>
      <c r="G929" s="152">
        <v>1</v>
      </c>
      <c r="H929" s="41">
        <v>2</v>
      </c>
      <c r="I929" s="188">
        <v>3</v>
      </c>
      <c r="J929" s="22">
        <v>4</v>
      </c>
      <c r="K929" s="40">
        <v>1</v>
      </c>
      <c r="L929" s="599">
        <v>1</v>
      </c>
      <c r="M929" s="409"/>
      <c r="N929" s="424"/>
      <c r="P929" s="547"/>
      <c r="R929" s="556"/>
      <c r="T929" s="556"/>
    </row>
    <row r="930" spans="1:22" s="28" customFormat="1" ht="15">
      <c r="A930" s="371"/>
      <c r="B930" s="372" t="s">
        <v>688</v>
      </c>
      <c r="C930" s="372"/>
      <c r="D930" s="373"/>
      <c r="E930" s="373"/>
      <c r="F930" s="373"/>
      <c r="G930" s="390" t="e">
        <f>G934+G936+G938+#REF!+G997</f>
        <v>#REF!</v>
      </c>
      <c r="H930" s="390" t="e">
        <f>H934+H936+H938+#REF!+H997</f>
        <v>#REF!</v>
      </c>
      <c r="I930" s="390" t="e">
        <f>I934+I936+I938+#REF!+I997</f>
        <v>#REF!</v>
      </c>
      <c r="J930" s="390" t="e">
        <f>J934+J936+J938+#REF!+J997</f>
        <v>#REF!</v>
      </c>
      <c r="K930" s="390" t="e">
        <f>K934+K936+K938+#REF!+K997</f>
        <v>#REF!</v>
      </c>
      <c r="L930" s="390">
        <f>L931+L960</f>
        <v>3784</v>
      </c>
      <c r="M930" s="390">
        <f>M933+M969</f>
        <v>473</v>
      </c>
      <c r="N930" s="534">
        <f>SUM(M930/L930)*100</f>
        <v>12.5</v>
      </c>
      <c r="O930" s="392">
        <f>O933+O969</f>
        <v>687</v>
      </c>
      <c r="P930" s="570">
        <f>SUM(O930/L930)*100</f>
        <v>18.1553911205074</v>
      </c>
      <c r="Q930" s="392" t="e">
        <f>Q933+Q969</f>
        <v>#REF!</v>
      </c>
      <c r="R930" s="567" t="e">
        <f>SUM(Q930/L930)*100</f>
        <v>#REF!</v>
      </c>
      <c r="S930" s="392">
        <f>S933+S969</f>
        <v>1372</v>
      </c>
      <c r="T930" s="567">
        <f>SUM(S930/L930)*100</f>
        <v>36.25792811839324</v>
      </c>
      <c r="U930" s="392">
        <f>U933+U969</f>
        <v>1665</v>
      </c>
      <c r="V930" s="783"/>
    </row>
    <row r="931" spans="1:22" s="680" customFormat="1" ht="12.75">
      <c r="A931" s="716"/>
      <c r="B931" s="692" t="s">
        <v>37</v>
      </c>
      <c r="C931" s="693"/>
      <c r="D931" s="694"/>
      <c r="E931" s="694"/>
      <c r="F931" s="694"/>
      <c r="G931" s="695"/>
      <c r="H931" s="695"/>
      <c r="I931" s="696"/>
      <c r="J931" s="696"/>
      <c r="K931" s="695"/>
      <c r="L931" s="695">
        <f>SUM(L933+L969)</f>
        <v>3644</v>
      </c>
      <c r="M931" s="697"/>
      <c r="N931" s="698"/>
      <c r="O931" s="699"/>
      <c r="P931" s="698"/>
      <c r="Q931" s="699"/>
      <c r="R931" s="568"/>
      <c r="S931" s="697">
        <f>SUM(S933+S969)</f>
        <v>1372</v>
      </c>
      <c r="T931" s="431">
        <f>SUM(S931/L931)*100</f>
        <v>37.65093304061471</v>
      </c>
      <c r="U931" s="697">
        <f>SUM(U933+U969)</f>
        <v>1665</v>
      </c>
      <c r="V931" s="789"/>
    </row>
    <row r="932" spans="1:20" ht="12.75">
      <c r="A932" s="14"/>
      <c r="B932" s="12" t="s">
        <v>140</v>
      </c>
      <c r="C932" s="12"/>
      <c r="D932" s="12"/>
      <c r="E932" s="12"/>
      <c r="F932" s="12"/>
      <c r="G932" s="284"/>
      <c r="H932" s="14"/>
      <c r="I932" s="13"/>
      <c r="J932" s="13"/>
      <c r="K932" s="14"/>
      <c r="L932" s="26"/>
      <c r="M932" s="416"/>
      <c r="N932" s="532"/>
      <c r="O932" s="52"/>
      <c r="P932" s="547"/>
      <c r="Q932" s="52"/>
      <c r="R932" s="547"/>
      <c r="S932" s="52"/>
      <c r="T932" s="547"/>
    </row>
    <row r="933" spans="1:22" s="109" customFormat="1" ht="12.75">
      <c r="A933" s="196"/>
      <c r="B933" s="237" t="s">
        <v>744</v>
      </c>
      <c r="C933" s="237"/>
      <c r="D933" s="237"/>
      <c r="E933" s="237"/>
      <c r="F933" s="237"/>
      <c r="G933" s="301"/>
      <c r="H933" s="196"/>
      <c r="I933" s="132"/>
      <c r="J933" s="132"/>
      <c r="K933" s="196"/>
      <c r="L933" s="375">
        <f>SUM(L934+L936+L938)</f>
        <v>594</v>
      </c>
      <c r="M933" s="375">
        <f>SUM(M934+M936+M938+M960)</f>
        <v>61</v>
      </c>
      <c r="N933" s="431">
        <f>SUM(M933/L933)*100</f>
        <v>10.26936026936027</v>
      </c>
      <c r="O933" s="376">
        <f>SUM(O934+O936+O938+O960)</f>
        <v>87</v>
      </c>
      <c r="P933" s="431">
        <f>SUM(O933/L933)*100</f>
        <v>14.646464646464647</v>
      </c>
      <c r="Q933" s="376" t="e">
        <f>SUM(Q934+Q936+Q938+Q960)</f>
        <v>#REF!</v>
      </c>
      <c r="R933" s="431" t="e">
        <f>SUM(Q933/L933)*100</f>
        <v>#REF!</v>
      </c>
      <c r="S933" s="376">
        <f>SUM(S934+S936+S938+S960)</f>
        <v>197</v>
      </c>
      <c r="T933" s="431">
        <f>SUM(S933/L933)*100</f>
        <v>33.16498316498316</v>
      </c>
      <c r="U933" s="376">
        <f>SUM(U934+U936+U938+U960)</f>
        <v>245</v>
      </c>
      <c r="V933" s="121"/>
    </row>
    <row r="934" spans="1:22" ht="12.75">
      <c r="A934" s="66">
        <v>610</v>
      </c>
      <c r="B934" s="49" t="s">
        <v>504</v>
      </c>
      <c r="C934" s="49"/>
      <c r="D934" s="49"/>
      <c r="E934" s="49"/>
      <c r="F934" s="49"/>
      <c r="G934" s="305">
        <v>1639</v>
      </c>
      <c r="H934" s="193">
        <v>1800</v>
      </c>
      <c r="I934" s="193">
        <v>1841</v>
      </c>
      <c r="J934" s="193">
        <v>643</v>
      </c>
      <c r="K934" s="193">
        <v>1954</v>
      </c>
      <c r="L934" s="50">
        <v>327</v>
      </c>
      <c r="M934" s="542">
        <v>33</v>
      </c>
      <c r="N934" s="433">
        <f>SUM(M934/L934)*100</f>
        <v>10.091743119266056</v>
      </c>
      <c r="O934" s="399">
        <v>50</v>
      </c>
      <c r="P934" s="433">
        <f>SUM(O934/L934)*100</f>
        <v>15.29051987767584</v>
      </c>
      <c r="Q934" s="399">
        <v>84</v>
      </c>
      <c r="R934" s="433">
        <f>SUM(Q934/L934)*100</f>
        <v>25.688073394495415</v>
      </c>
      <c r="S934" s="399">
        <v>84</v>
      </c>
      <c r="T934" s="433">
        <f>SUM(S934/L934)*100</f>
        <v>25.688073394495415</v>
      </c>
      <c r="U934" s="399">
        <v>118</v>
      </c>
      <c r="V934" s="399"/>
    </row>
    <row r="935" spans="1:22" s="131" customFormat="1" ht="12.75">
      <c r="A935" s="71"/>
      <c r="B935" s="24"/>
      <c r="C935" s="24"/>
      <c r="D935" s="24"/>
      <c r="E935" s="24"/>
      <c r="F935" s="24"/>
      <c r="G935" s="308"/>
      <c r="H935" s="56"/>
      <c r="I935" s="211"/>
      <c r="J935" s="211"/>
      <c r="K935" s="56"/>
      <c r="L935" s="92"/>
      <c r="M935" s="543"/>
      <c r="N935" s="537"/>
      <c r="O935" s="389"/>
      <c r="P935" s="549"/>
      <c r="Q935" s="389"/>
      <c r="R935" s="549"/>
      <c r="S935" s="389"/>
      <c r="T935" s="549"/>
      <c r="U935" s="389"/>
      <c r="V935" s="389"/>
    </row>
    <row r="936" spans="1:22" ht="12.75">
      <c r="A936" s="66">
        <v>620</v>
      </c>
      <c r="B936" s="49" t="s">
        <v>505</v>
      </c>
      <c r="C936" s="49"/>
      <c r="D936" s="49"/>
      <c r="E936" s="49"/>
      <c r="F936" s="49"/>
      <c r="G936" s="288">
        <v>589</v>
      </c>
      <c r="H936" s="198">
        <v>656</v>
      </c>
      <c r="I936" s="198">
        <v>670</v>
      </c>
      <c r="J936" s="198">
        <v>232</v>
      </c>
      <c r="K936" s="198">
        <v>715</v>
      </c>
      <c r="L936" s="50">
        <v>115</v>
      </c>
      <c r="M936" s="542">
        <v>13</v>
      </c>
      <c r="N936" s="433">
        <f>SUM(M936/L936)*100</f>
        <v>11.304347826086957</v>
      </c>
      <c r="O936" s="399">
        <v>18</v>
      </c>
      <c r="P936" s="433">
        <f>SUM(O936/L936)*100</f>
        <v>15.65217391304348</v>
      </c>
      <c r="Q936" s="399">
        <v>30</v>
      </c>
      <c r="R936" s="433">
        <f>SUM(Q936/L936)*100</f>
        <v>26.08695652173913</v>
      </c>
      <c r="S936" s="399">
        <v>30</v>
      </c>
      <c r="T936" s="433">
        <f>SUM(S936/L936)*100</f>
        <v>26.08695652173913</v>
      </c>
      <c r="U936" s="399">
        <v>41</v>
      </c>
      <c r="V936" s="399"/>
    </row>
    <row r="937" spans="1:20" ht="12.75">
      <c r="A937" s="14"/>
      <c r="B937" s="12"/>
      <c r="C937" s="12"/>
      <c r="D937" s="12"/>
      <c r="E937" s="12"/>
      <c r="F937" s="12"/>
      <c r="G937" s="284"/>
      <c r="H937" s="92"/>
      <c r="I937" s="13"/>
      <c r="J937" s="13"/>
      <c r="K937" s="198"/>
      <c r="L937" s="193"/>
      <c r="M937" s="416"/>
      <c r="N937" s="532"/>
      <c r="P937" s="547"/>
      <c r="R937" s="547"/>
      <c r="T937" s="547"/>
    </row>
    <row r="938" spans="1:21" ht="12.75">
      <c r="A938" s="66">
        <v>630</v>
      </c>
      <c r="B938" s="49" t="s">
        <v>506</v>
      </c>
      <c r="C938" s="49"/>
      <c r="D938" s="49"/>
      <c r="E938" s="49"/>
      <c r="F938" s="49"/>
      <c r="G938" s="198">
        <f>G940+G970+G986+G991</f>
        <v>571</v>
      </c>
      <c r="H938" s="66">
        <f>H940+H970+H986+H991</f>
        <v>703</v>
      </c>
      <c r="I938" s="66">
        <f>I940+I970+I986+I991</f>
        <v>772</v>
      </c>
      <c r="J938" s="66">
        <f>J940+J970+J986+J991</f>
        <v>302</v>
      </c>
      <c r="K938" s="66">
        <f>K940+K970+K986+K991</f>
        <v>721</v>
      </c>
      <c r="L938" s="542">
        <f>SUM(L940+L943+L950+L955)</f>
        <v>152</v>
      </c>
      <c r="M938" s="542">
        <f>SUM(M940+M943+M950+M955)</f>
        <v>15</v>
      </c>
      <c r="N938" s="433">
        <f>SUM(M938/L938)*100</f>
        <v>9.868421052631579</v>
      </c>
      <c r="O938" s="197">
        <f>SUM(O940+O943+O950+O955)</f>
        <v>19</v>
      </c>
      <c r="P938" s="433">
        <f>SUM(O938/L938)*100</f>
        <v>12.5</v>
      </c>
      <c r="Q938" s="197" t="e">
        <f>SUM(Q940+Q943+Q950+Q955)</f>
        <v>#REF!</v>
      </c>
      <c r="R938" s="433" t="e">
        <f>SUM(Q938/L938)*100</f>
        <v>#REF!</v>
      </c>
      <c r="S938" s="197">
        <f>SUM(S940+S943+S950+S955)</f>
        <v>83</v>
      </c>
      <c r="T938" s="433">
        <f>SUM(S938/L938)*100</f>
        <v>54.60526315789473</v>
      </c>
      <c r="U938" s="197">
        <f>SUM(U940+U943+U950+U955)</f>
        <v>86</v>
      </c>
    </row>
    <row r="939" spans="1:20" ht="12.75">
      <c r="A939" s="66"/>
      <c r="B939" s="49"/>
      <c r="C939" s="49"/>
      <c r="D939" s="49"/>
      <c r="E939" s="49"/>
      <c r="F939" s="49"/>
      <c r="G939" s="284"/>
      <c r="H939" s="92"/>
      <c r="I939" s="13"/>
      <c r="J939" s="13"/>
      <c r="K939" s="14"/>
      <c r="L939" s="26"/>
      <c r="M939" s="416"/>
      <c r="N939" s="532"/>
      <c r="P939" s="547"/>
      <c r="R939" s="547"/>
      <c r="T939" s="547"/>
    </row>
    <row r="940" spans="1:22" ht="11.25" customHeight="1">
      <c r="A940" s="66">
        <v>631</v>
      </c>
      <c r="B940" s="49" t="s">
        <v>507</v>
      </c>
      <c r="C940" s="12"/>
      <c r="D940" s="12"/>
      <c r="E940" s="12"/>
      <c r="F940" s="12"/>
      <c r="G940" s="288">
        <v>12</v>
      </c>
      <c r="H940" s="198">
        <v>15</v>
      </c>
      <c r="I940" s="48">
        <v>15</v>
      </c>
      <c r="J940" s="48">
        <v>1</v>
      </c>
      <c r="K940" s="198">
        <v>10</v>
      </c>
      <c r="L940" s="50">
        <v>2</v>
      </c>
      <c r="M940" s="542">
        <v>2</v>
      </c>
      <c r="N940" s="433">
        <f>SUM(M940/L940)*100</f>
        <v>100</v>
      </c>
      <c r="O940" s="399">
        <v>2</v>
      </c>
      <c r="P940" s="433">
        <f>SUM(O940/L940)*100</f>
        <v>100</v>
      </c>
      <c r="Q940" s="399">
        <v>2</v>
      </c>
      <c r="R940" s="433">
        <f>SUM(Q940/L940)*100</f>
        <v>100</v>
      </c>
      <c r="S940" s="399">
        <v>2</v>
      </c>
      <c r="T940" s="433">
        <f>SUM(S940/L940)*100</f>
        <v>100</v>
      </c>
      <c r="U940" s="399">
        <v>2</v>
      </c>
      <c r="V940" s="399"/>
    </row>
    <row r="941" spans="1:22" s="131" customFormat="1" ht="12.75" hidden="1">
      <c r="A941" s="71"/>
      <c r="B941" s="24"/>
      <c r="C941" s="24"/>
      <c r="D941" s="24"/>
      <c r="E941" s="24"/>
      <c r="F941" s="24"/>
      <c r="G941" s="290"/>
      <c r="H941" s="53"/>
      <c r="I941" s="58"/>
      <c r="J941" s="58"/>
      <c r="K941" s="53"/>
      <c r="L941" s="92"/>
      <c r="M941" s="543"/>
      <c r="N941" s="537"/>
      <c r="O941" s="389"/>
      <c r="P941" s="549"/>
      <c r="Q941" s="389"/>
      <c r="R941" s="549"/>
      <c r="S941" s="389"/>
      <c r="T941" s="549"/>
      <c r="U941" s="389"/>
      <c r="V941" s="389"/>
    </row>
    <row r="942" spans="1:22" s="131" customFormat="1" ht="12.75">
      <c r="A942" s="71"/>
      <c r="B942" s="24"/>
      <c r="C942" s="24"/>
      <c r="D942" s="24"/>
      <c r="E942" s="24"/>
      <c r="F942" s="24"/>
      <c r="G942" s="290"/>
      <c r="H942" s="53"/>
      <c r="I942" s="58"/>
      <c r="J942" s="58"/>
      <c r="K942" s="53"/>
      <c r="L942" s="92"/>
      <c r="M942" s="543"/>
      <c r="N942" s="537"/>
      <c r="O942" s="389"/>
      <c r="P942" s="549"/>
      <c r="Q942" s="389"/>
      <c r="R942" s="549"/>
      <c r="S942" s="389"/>
      <c r="T942" s="549"/>
      <c r="U942" s="389"/>
      <c r="V942" s="389"/>
    </row>
    <row r="943" spans="1:22" s="130" customFormat="1" ht="12.75">
      <c r="A943" s="66">
        <v>632</v>
      </c>
      <c r="B943" s="49" t="s">
        <v>234</v>
      </c>
      <c r="C943" s="49"/>
      <c r="D943" s="49"/>
      <c r="E943" s="49"/>
      <c r="F943" s="49"/>
      <c r="G943" s="288"/>
      <c r="H943" s="198"/>
      <c r="I943" s="48"/>
      <c r="J943" s="48"/>
      <c r="K943" s="198"/>
      <c r="L943" s="50">
        <f>SUM(L944+L945+L946)</f>
        <v>30</v>
      </c>
      <c r="M943" s="542">
        <f>SUM(M944+M945+M946)</f>
        <v>8</v>
      </c>
      <c r="N943" s="433">
        <f>SUM(M943/L943)*100</f>
        <v>26.666666666666668</v>
      </c>
      <c r="O943" s="197">
        <f>SUM(O944+O945+O946)</f>
        <v>9</v>
      </c>
      <c r="P943" s="433">
        <f>SUM(O943/L943)*100</f>
        <v>30</v>
      </c>
      <c r="Q943" s="197">
        <f>SUM(Q944+Q945+Q946)</f>
        <v>9</v>
      </c>
      <c r="R943" s="433">
        <f>SUM(Q943/L943)*100</f>
        <v>30</v>
      </c>
      <c r="S943" s="197">
        <f>SUM(S944+S945+S946)</f>
        <v>25</v>
      </c>
      <c r="T943" s="433">
        <f aca="true" t="shared" si="185" ref="T943:T948">SUM(S943/L943)*100</f>
        <v>83.33333333333334</v>
      </c>
      <c r="U943" s="197">
        <f>SUM(U944+U945+U946)</f>
        <v>26</v>
      </c>
      <c r="V943" s="399"/>
    </row>
    <row r="944" spans="1:22" s="131" customFormat="1" ht="12.75">
      <c r="A944" s="71">
        <v>632001</v>
      </c>
      <c r="B944" s="24" t="s">
        <v>235</v>
      </c>
      <c r="C944" s="24"/>
      <c r="D944" s="24"/>
      <c r="E944" s="24"/>
      <c r="F944" s="24"/>
      <c r="G944" s="290"/>
      <c r="H944" s="53"/>
      <c r="I944" s="58"/>
      <c r="J944" s="58"/>
      <c r="K944" s="53"/>
      <c r="L944" s="92">
        <v>3</v>
      </c>
      <c r="M944" s="543">
        <v>1</v>
      </c>
      <c r="N944" s="430">
        <f>SUM(M944/L944)*100</f>
        <v>33.33333333333333</v>
      </c>
      <c r="O944" s="389">
        <v>2</v>
      </c>
      <c r="P944" s="430">
        <f>SUM(O944/L944)*100</f>
        <v>66.66666666666666</v>
      </c>
      <c r="Q944" s="389">
        <v>2</v>
      </c>
      <c r="R944" s="430">
        <f>SUM(Q944/L944)*100</f>
        <v>66.66666666666666</v>
      </c>
      <c r="S944" s="389">
        <v>3</v>
      </c>
      <c r="T944" s="430">
        <f t="shared" si="185"/>
        <v>100</v>
      </c>
      <c r="U944" s="389">
        <v>3</v>
      </c>
      <c r="V944" s="389"/>
    </row>
    <row r="945" spans="1:22" s="131" customFormat="1" ht="12.75">
      <c r="A945" s="71">
        <v>632002</v>
      </c>
      <c r="B945" s="24" t="s">
        <v>745</v>
      </c>
      <c r="C945" s="24"/>
      <c r="D945" s="24"/>
      <c r="E945" s="24"/>
      <c r="F945" s="24"/>
      <c r="G945" s="290"/>
      <c r="H945" s="53"/>
      <c r="I945" s="58"/>
      <c r="J945" s="58"/>
      <c r="K945" s="53"/>
      <c r="L945" s="92">
        <v>2</v>
      </c>
      <c r="M945" s="543"/>
      <c r="N945" s="537"/>
      <c r="O945" s="389"/>
      <c r="P945" s="549"/>
      <c r="Q945" s="389"/>
      <c r="R945" s="549"/>
      <c r="S945" s="389">
        <v>1</v>
      </c>
      <c r="T945" s="430">
        <f t="shared" si="185"/>
        <v>50</v>
      </c>
      <c r="U945" s="389">
        <v>1</v>
      </c>
      <c r="V945" s="389"/>
    </row>
    <row r="946" spans="1:22" s="131" customFormat="1" ht="12.75">
      <c r="A946" s="71">
        <v>632003</v>
      </c>
      <c r="B946" s="24" t="s">
        <v>240</v>
      </c>
      <c r="C946" s="24"/>
      <c r="D946" s="24"/>
      <c r="E946" s="24"/>
      <c r="F946" s="24"/>
      <c r="G946" s="290"/>
      <c r="H946" s="53"/>
      <c r="I946" s="58"/>
      <c r="J946" s="58"/>
      <c r="K946" s="53"/>
      <c r="L946" s="92">
        <f>SUM(L947+L948)</f>
        <v>25</v>
      </c>
      <c r="M946" s="543">
        <f>SUM(M947+M948)</f>
        <v>7</v>
      </c>
      <c r="N946" s="430">
        <f>SUM(M946/L946)*100</f>
        <v>28.000000000000004</v>
      </c>
      <c r="O946" s="206">
        <f>SUM(O947+O948)</f>
        <v>7</v>
      </c>
      <c r="P946" s="430">
        <f>SUM(O946/L946)*100</f>
        <v>28.000000000000004</v>
      </c>
      <c r="Q946" s="206">
        <f>SUM(Q947+Q948)</f>
        <v>7</v>
      </c>
      <c r="R946" s="430">
        <f>SUM(Q946/L946)*100</f>
        <v>28.000000000000004</v>
      </c>
      <c r="S946" s="206">
        <f>SUM(S947+S948)</f>
        <v>21</v>
      </c>
      <c r="T946" s="430">
        <f t="shared" si="185"/>
        <v>84</v>
      </c>
      <c r="U946" s="206">
        <f>SUM(U947+U948)</f>
        <v>22</v>
      </c>
      <c r="V946" s="389"/>
    </row>
    <row r="947" spans="1:22" s="627" customFormat="1" ht="12">
      <c r="A947" s="204"/>
      <c r="B947" s="203" t="s">
        <v>746</v>
      </c>
      <c r="C947" s="203"/>
      <c r="D947" s="203"/>
      <c r="E947" s="203"/>
      <c r="F947" s="203"/>
      <c r="G947" s="641"/>
      <c r="H947" s="204"/>
      <c r="I947" s="632"/>
      <c r="J947" s="632"/>
      <c r="K947" s="204"/>
      <c r="L947" s="94">
        <v>5</v>
      </c>
      <c r="M947" s="573">
        <v>1</v>
      </c>
      <c r="N947" s="563">
        <f>SUM(M947/L947)*100</f>
        <v>20</v>
      </c>
      <c r="O947" s="562">
        <v>1</v>
      </c>
      <c r="P947" s="563">
        <f>SUM(O947/L947)*100</f>
        <v>20</v>
      </c>
      <c r="Q947" s="562">
        <v>1</v>
      </c>
      <c r="R947" s="563">
        <f>SUM(Q947/L947)*100</f>
        <v>20</v>
      </c>
      <c r="S947" s="562">
        <v>1</v>
      </c>
      <c r="T947" s="563">
        <f t="shared" si="185"/>
        <v>20</v>
      </c>
      <c r="U947" s="562">
        <v>2</v>
      </c>
      <c r="V947" s="562"/>
    </row>
    <row r="948" spans="1:22" s="627" customFormat="1" ht="12">
      <c r="A948" s="204"/>
      <c r="B948" s="203" t="s">
        <v>747</v>
      </c>
      <c r="C948" s="203"/>
      <c r="D948" s="203"/>
      <c r="E948" s="203"/>
      <c r="F948" s="203"/>
      <c r="G948" s="641"/>
      <c r="H948" s="204"/>
      <c r="I948" s="632"/>
      <c r="J948" s="632"/>
      <c r="K948" s="204"/>
      <c r="L948" s="94">
        <v>20</v>
      </c>
      <c r="M948" s="573">
        <v>6</v>
      </c>
      <c r="N948" s="563">
        <f>SUM(M948/L948)*100</f>
        <v>30</v>
      </c>
      <c r="O948" s="562">
        <v>6</v>
      </c>
      <c r="P948" s="563">
        <f>SUM(O948/L948)*100</f>
        <v>30</v>
      </c>
      <c r="Q948" s="562">
        <v>6</v>
      </c>
      <c r="R948" s="563">
        <f>SUM(Q948/L948)*100</f>
        <v>30</v>
      </c>
      <c r="S948" s="562">
        <v>20</v>
      </c>
      <c r="T948" s="563">
        <f t="shared" si="185"/>
        <v>100</v>
      </c>
      <c r="U948" s="562">
        <v>20</v>
      </c>
      <c r="V948" s="562"/>
    </row>
    <row r="949" spans="1:22" s="131" customFormat="1" ht="12.75">
      <c r="A949" s="71"/>
      <c r="B949" s="24"/>
      <c r="C949" s="24"/>
      <c r="D949" s="24"/>
      <c r="E949" s="24"/>
      <c r="F949" s="24"/>
      <c r="G949" s="290"/>
      <c r="H949" s="53"/>
      <c r="I949" s="58"/>
      <c r="J949" s="58"/>
      <c r="K949" s="53"/>
      <c r="L949" s="92"/>
      <c r="M949" s="543"/>
      <c r="N949" s="537"/>
      <c r="O949" s="389"/>
      <c r="P949" s="549"/>
      <c r="Q949" s="389"/>
      <c r="R949" s="549"/>
      <c r="S949" s="389"/>
      <c r="T949" s="549"/>
      <c r="U949" s="389"/>
      <c r="V949" s="389"/>
    </row>
    <row r="950" spans="1:22" s="130" customFormat="1" ht="12.75">
      <c r="A950" s="66">
        <v>633</v>
      </c>
      <c r="B950" s="49" t="s">
        <v>245</v>
      </c>
      <c r="C950" s="49"/>
      <c r="D950" s="49"/>
      <c r="E950" s="49"/>
      <c r="F950" s="49"/>
      <c r="G950" s="288"/>
      <c r="H950" s="198"/>
      <c r="I950" s="48"/>
      <c r="J950" s="48"/>
      <c r="K950" s="198"/>
      <c r="L950" s="50">
        <f>SUM(L951+L952+L953)</f>
        <v>92</v>
      </c>
      <c r="M950" s="66">
        <f>SUM(M951+M952+M953)</f>
        <v>1</v>
      </c>
      <c r="N950" s="433">
        <f>SUM(M950/L950)*100</f>
        <v>1.0869565217391304</v>
      </c>
      <c r="O950" s="399"/>
      <c r="P950" s="552"/>
      <c r="Q950" s="197" t="e">
        <f>SUM(Q951+Q952+Q953+#REF!)</f>
        <v>#REF!</v>
      </c>
      <c r="R950" s="433" t="e">
        <f>SUM(Q950/L950)*100</f>
        <v>#REF!</v>
      </c>
      <c r="S950" s="197">
        <f>SUM(S951+S952+S953)</f>
        <v>44</v>
      </c>
      <c r="T950" s="433">
        <f>SUM(S950/L950)*100</f>
        <v>47.82608695652174</v>
      </c>
      <c r="U950" s="197">
        <f>SUM(U951+U952+U953)</f>
        <v>46</v>
      </c>
      <c r="V950" s="399"/>
    </row>
    <row r="951" spans="1:22" s="131" customFormat="1" ht="12.75">
      <c r="A951" s="71">
        <v>633006</v>
      </c>
      <c r="B951" s="24" t="s">
        <v>433</v>
      </c>
      <c r="C951" s="24"/>
      <c r="D951" s="24"/>
      <c r="E951" s="24"/>
      <c r="F951" s="24"/>
      <c r="G951" s="290"/>
      <c r="H951" s="53"/>
      <c r="I951" s="58"/>
      <c r="J951" s="58"/>
      <c r="K951" s="53"/>
      <c r="L951" s="92">
        <v>77</v>
      </c>
      <c r="M951" s="543"/>
      <c r="N951" s="537"/>
      <c r="O951" s="389"/>
      <c r="P951" s="549"/>
      <c r="Q951" s="389">
        <v>29</v>
      </c>
      <c r="R951" s="430">
        <f>SUM(Q951/L951)*100</f>
        <v>37.66233766233766</v>
      </c>
      <c r="S951" s="389">
        <v>43</v>
      </c>
      <c r="T951" s="430">
        <f>SUM(S951/L951)*100</f>
        <v>55.84415584415584</v>
      </c>
      <c r="U951" s="389">
        <v>45</v>
      </c>
      <c r="V951" s="389"/>
    </row>
    <row r="952" spans="1:22" s="131" customFormat="1" ht="12.75">
      <c r="A952" s="71">
        <v>633009</v>
      </c>
      <c r="B952" s="24" t="s">
        <v>748</v>
      </c>
      <c r="C952" s="24"/>
      <c r="D952" s="24"/>
      <c r="E952" s="24"/>
      <c r="F952" s="24"/>
      <c r="G952" s="290"/>
      <c r="H952" s="53"/>
      <c r="I952" s="58"/>
      <c r="J952" s="58"/>
      <c r="K952" s="53"/>
      <c r="L952" s="92">
        <v>13</v>
      </c>
      <c r="M952" s="543">
        <v>1</v>
      </c>
      <c r="N952" s="430">
        <f>SUM(M952/L952)*100</f>
        <v>7.6923076923076925</v>
      </c>
      <c r="O952" s="389"/>
      <c r="P952" s="549"/>
      <c r="Q952" s="389"/>
      <c r="R952" s="549"/>
      <c r="S952" s="389"/>
      <c r="T952" s="549"/>
      <c r="U952" s="389"/>
      <c r="V952" s="389"/>
    </row>
    <row r="953" spans="1:22" s="131" customFormat="1" ht="12.75">
      <c r="A953" s="71">
        <v>633010</v>
      </c>
      <c r="B953" s="24" t="s">
        <v>263</v>
      </c>
      <c r="C953" s="24"/>
      <c r="D953" s="24"/>
      <c r="E953" s="24"/>
      <c r="F953" s="24"/>
      <c r="G953" s="290"/>
      <c r="H953" s="53"/>
      <c r="I953" s="58"/>
      <c r="J953" s="58"/>
      <c r="K953" s="53"/>
      <c r="L953" s="92">
        <v>2</v>
      </c>
      <c r="M953" s="543"/>
      <c r="N953" s="537"/>
      <c r="O953" s="389"/>
      <c r="P953" s="549"/>
      <c r="Q953" s="389">
        <v>1</v>
      </c>
      <c r="R953" s="549"/>
      <c r="S953" s="389">
        <v>1</v>
      </c>
      <c r="T953" s="430">
        <f>SUM(S953/L953)*100</f>
        <v>50</v>
      </c>
      <c r="U953" s="389">
        <v>1</v>
      </c>
      <c r="V953" s="389"/>
    </row>
    <row r="954" spans="1:22" s="131" customFormat="1" ht="12.75">
      <c r="A954" s="71"/>
      <c r="B954" s="24"/>
      <c r="C954" s="24"/>
      <c r="D954" s="24"/>
      <c r="E954" s="24"/>
      <c r="F954" s="24"/>
      <c r="G954" s="290"/>
      <c r="H954" s="53"/>
      <c r="I954" s="58"/>
      <c r="J954" s="58"/>
      <c r="K954" s="53"/>
      <c r="L954" s="92"/>
      <c r="M954" s="543"/>
      <c r="N954" s="537"/>
      <c r="O954" s="389"/>
      <c r="P954" s="549"/>
      <c r="Q954" s="389"/>
      <c r="R954" s="549"/>
      <c r="S954" s="389"/>
      <c r="T954" s="549"/>
      <c r="U954" s="389"/>
      <c r="V954" s="389"/>
    </row>
    <row r="955" spans="1:22" s="130" customFormat="1" ht="12.75">
      <c r="A955" s="66">
        <v>637</v>
      </c>
      <c r="B955" s="49" t="s">
        <v>288</v>
      </c>
      <c r="C955" s="49"/>
      <c r="D955" s="49"/>
      <c r="E955" s="49"/>
      <c r="F955" s="49"/>
      <c r="G955" s="288"/>
      <c r="H955" s="198"/>
      <c r="I955" s="48"/>
      <c r="J955" s="48"/>
      <c r="K955" s="198"/>
      <c r="L955" s="50">
        <f>SUM(L956:L958)</f>
        <v>28</v>
      </c>
      <c r="M955" s="300">
        <f>SUM(M956:M958)</f>
        <v>4</v>
      </c>
      <c r="N955" s="433">
        <f>SUM(M955/L955)*100</f>
        <v>14.285714285714285</v>
      </c>
      <c r="O955" s="197">
        <f>SUM(O956:O958)</f>
        <v>8</v>
      </c>
      <c r="P955" s="433">
        <f>SUM(O955/L955)*100</f>
        <v>28.57142857142857</v>
      </c>
      <c r="Q955" s="197">
        <f>SUM(Q956:Q958)</f>
        <v>7</v>
      </c>
      <c r="R955" s="433">
        <f>SUM(Q955/L955)*100</f>
        <v>25</v>
      </c>
      <c r="S955" s="197">
        <f>SUM(S956:S958)</f>
        <v>12</v>
      </c>
      <c r="T955" s="433">
        <f>SUM(S955/L955)*100</f>
        <v>42.857142857142854</v>
      </c>
      <c r="U955" s="197">
        <f>SUM(U956:U958)</f>
        <v>12</v>
      </c>
      <c r="V955" s="399"/>
    </row>
    <row r="956" spans="1:22" s="131" customFormat="1" ht="12.75">
      <c r="A956" s="71">
        <v>637001</v>
      </c>
      <c r="B956" s="24" t="s">
        <v>289</v>
      </c>
      <c r="C956" s="24"/>
      <c r="D956" s="24"/>
      <c r="E956" s="24"/>
      <c r="F956" s="24"/>
      <c r="G956" s="290"/>
      <c r="H956" s="53"/>
      <c r="I956" s="58"/>
      <c r="J956" s="58"/>
      <c r="K956" s="53"/>
      <c r="L956" s="92">
        <v>14</v>
      </c>
      <c r="M956" s="543">
        <v>2</v>
      </c>
      <c r="N956" s="430">
        <f>SUM(M956/L956)*100</f>
        <v>14.285714285714285</v>
      </c>
      <c r="O956" s="389">
        <v>5</v>
      </c>
      <c r="P956" s="430">
        <f>SUM(O956/L956)*100</f>
        <v>35.714285714285715</v>
      </c>
      <c r="Q956" s="389">
        <v>5</v>
      </c>
      <c r="R956" s="430">
        <f>SUM(Q956/L956)*100</f>
        <v>35.714285714285715</v>
      </c>
      <c r="S956" s="389">
        <v>5</v>
      </c>
      <c r="T956" s="430">
        <f>SUM(S956/L956)*100</f>
        <v>35.714285714285715</v>
      </c>
      <c r="U956" s="389">
        <v>5</v>
      </c>
      <c r="V956" s="389"/>
    </row>
    <row r="957" spans="1:22" s="131" customFormat="1" ht="12.75">
      <c r="A957" s="71">
        <v>637014</v>
      </c>
      <c r="B957" s="24" t="s">
        <v>373</v>
      </c>
      <c r="C957" s="24"/>
      <c r="D957" s="24"/>
      <c r="E957" s="24"/>
      <c r="F957" s="24"/>
      <c r="G957" s="290"/>
      <c r="H957" s="53"/>
      <c r="I957" s="58"/>
      <c r="J957" s="58"/>
      <c r="K957" s="53"/>
      <c r="L957" s="92">
        <v>11</v>
      </c>
      <c r="M957" s="543">
        <v>2</v>
      </c>
      <c r="N957" s="430">
        <f>SUM(M957/L957)*100</f>
        <v>18.181818181818183</v>
      </c>
      <c r="O957" s="389">
        <v>2</v>
      </c>
      <c r="P957" s="430">
        <f>SUM(O957/L957)*100</f>
        <v>18.181818181818183</v>
      </c>
      <c r="Q957" s="389">
        <v>1</v>
      </c>
      <c r="R957" s="430">
        <f>SUM(Q957/L957)*100</f>
        <v>9.090909090909092</v>
      </c>
      <c r="S957" s="389">
        <v>6</v>
      </c>
      <c r="T957" s="430">
        <f>SUM(S957/L957)*100</f>
        <v>54.54545454545454</v>
      </c>
      <c r="U957" s="389">
        <v>6</v>
      </c>
      <c r="V957" s="389"/>
    </row>
    <row r="958" spans="1:22" s="131" customFormat="1" ht="12.75">
      <c r="A958" s="71">
        <v>637016</v>
      </c>
      <c r="B958" s="24" t="s">
        <v>375</v>
      </c>
      <c r="C958" s="24"/>
      <c r="D958" s="24"/>
      <c r="E958" s="24"/>
      <c r="F958" s="24"/>
      <c r="G958" s="290"/>
      <c r="H958" s="53"/>
      <c r="I958" s="58"/>
      <c r="J958" s="58"/>
      <c r="K958" s="53"/>
      <c r="L958" s="92">
        <v>3</v>
      </c>
      <c r="M958" s="543"/>
      <c r="N958" s="537"/>
      <c r="O958" s="389">
        <v>1</v>
      </c>
      <c r="P958" s="430">
        <f>SUM(O958/L958)*100</f>
        <v>33.33333333333333</v>
      </c>
      <c r="Q958" s="389">
        <v>1</v>
      </c>
      <c r="R958" s="430">
        <f>SUM(Q958/L958)*100</f>
        <v>33.33333333333333</v>
      </c>
      <c r="S958" s="389">
        <v>1</v>
      </c>
      <c r="T958" s="430">
        <f>SUM(S958/L958)*100</f>
        <v>33.33333333333333</v>
      </c>
      <c r="U958" s="389">
        <v>1</v>
      </c>
      <c r="V958" s="389"/>
    </row>
    <row r="959" spans="1:22" s="131" customFormat="1" ht="12.75">
      <c r="A959" s="71"/>
      <c r="B959" s="24"/>
      <c r="C959" s="24"/>
      <c r="D959" s="24"/>
      <c r="E959" s="24"/>
      <c r="F959" s="24"/>
      <c r="G959" s="290"/>
      <c r="H959" s="53"/>
      <c r="I959" s="58"/>
      <c r="J959" s="58"/>
      <c r="K959" s="53"/>
      <c r="L959" s="92"/>
      <c r="M959" s="543"/>
      <c r="N959" s="537"/>
      <c r="O959" s="389"/>
      <c r="P959" s="549"/>
      <c r="Q959" s="389"/>
      <c r="R959" s="549"/>
      <c r="S959" s="389"/>
      <c r="T959" s="549"/>
      <c r="U959" s="389"/>
      <c r="V959" s="389"/>
    </row>
    <row r="960" spans="1:22" s="109" customFormat="1" ht="12.75">
      <c r="A960" s="196">
        <v>700</v>
      </c>
      <c r="B960" s="237" t="s">
        <v>38</v>
      </c>
      <c r="C960" s="237"/>
      <c r="D960" s="237"/>
      <c r="E960" s="237"/>
      <c r="F960" s="237"/>
      <c r="G960" s="285"/>
      <c r="H960" s="538"/>
      <c r="I960" s="132"/>
      <c r="J960" s="132"/>
      <c r="K960" s="538"/>
      <c r="L960" s="375">
        <v>140</v>
      </c>
      <c r="M960" s="546"/>
      <c r="N960" s="493"/>
      <c r="O960" s="121"/>
      <c r="P960" s="550"/>
      <c r="Q960" s="121"/>
      <c r="R960" s="550"/>
      <c r="S960" s="121">
        <v>0</v>
      </c>
      <c r="T960" s="550"/>
      <c r="U960" s="121"/>
      <c r="V960" s="121"/>
    </row>
    <row r="961" spans="1:22" s="131" customFormat="1" ht="12.75">
      <c r="A961" s="71"/>
      <c r="B961" s="24"/>
      <c r="C961" s="24"/>
      <c r="D961" s="24"/>
      <c r="E961" s="24"/>
      <c r="F961" s="24"/>
      <c r="G961" s="290"/>
      <c r="H961" s="53"/>
      <c r="I961" s="58"/>
      <c r="J961" s="58"/>
      <c r="K961" s="53"/>
      <c r="L961" s="92"/>
      <c r="M961" s="543"/>
      <c r="N961" s="537"/>
      <c r="O961" s="389"/>
      <c r="P961" s="549"/>
      <c r="Q961" s="389"/>
      <c r="R961" s="549"/>
      <c r="S961" s="389"/>
      <c r="T961" s="549"/>
      <c r="U961" s="389"/>
      <c r="V961" s="389"/>
    </row>
    <row r="962" spans="1:22" s="131" customFormat="1" ht="13.5" thickBot="1">
      <c r="A962" s="71"/>
      <c r="B962" s="24"/>
      <c r="C962" s="24"/>
      <c r="D962" s="24"/>
      <c r="E962" s="24"/>
      <c r="F962" s="24"/>
      <c r="G962" s="290"/>
      <c r="H962" s="53"/>
      <c r="I962" s="58"/>
      <c r="J962" s="58"/>
      <c r="K962" s="53"/>
      <c r="L962" s="92"/>
      <c r="M962" s="120"/>
      <c r="N962" s="537"/>
      <c r="O962" s="120"/>
      <c r="P962" s="559"/>
      <c r="Q962" s="120"/>
      <c r="R962" s="559"/>
      <c r="S962" s="120"/>
      <c r="T962" s="559"/>
      <c r="U962" s="389"/>
      <c r="V962" s="389"/>
    </row>
    <row r="963" spans="1:22" s="131" customFormat="1" ht="12.75">
      <c r="A963" s="168"/>
      <c r="B963" s="168"/>
      <c r="C963" s="168"/>
      <c r="D963" s="168"/>
      <c r="E963" s="168"/>
      <c r="F963" s="168"/>
      <c r="G963" s="530"/>
      <c r="H963" s="520"/>
      <c r="I963" s="380"/>
      <c r="J963" s="380"/>
      <c r="K963" s="531"/>
      <c r="L963" s="489"/>
      <c r="M963" s="489"/>
      <c r="N963" s="527"/>
      <c r="O963" s="389"/>
      <c r="Q963" s="389"/>
      <c r="S963" s="389"/>
      <c r="U963" s="389"/>
      <c r="V963" s="389"/>
    </row>
    <row r="964" spans="1:22" s="131" customFormat="1" ht="13.5" thickBot="1">
      <c r="A964" s="24"/>
      <c r="B964" s="24"/>
      <c r="C964" s="24"/>
      <c r="D964" s="24"/>
      <c r="E964" s="24"/>
      <c r="F964" s="24"/>
      <c r="G964" s="290"/>
      <c r="H964" s="53"/>
      <c r="I964" s="58"/>
      <c r="J964" s="58"/>
      <c r="K964" s="93"/>
      <c r="L964" s="91"/>
      <c r="M964" s="389"/>
      <c r="N964" s="438"/>
      <c r="O964" s="389"/>
      <c r="Q964" s="389"/>
      <c r="S964" s="389"/>
      <c r="U964" s="389"/>
      <c r="V964" s="389"/>
    </row>
    <row r="965" spans="1:22" ht="13.5" thickBot="1">
      <c r="A965" s="177" t="s">
        <v>44</v>
      </c>
      <c r="B965" s="178"/>
      <c r="C965" s="178"/>
      <c r="D965" s="179"/>
      <c r="E965" s="179"/>
      <c r="F965" s="179"/>
      <c r="G965" s="15" t="s">
        <v>23</v>
      </c>
      <c r="H965" s="136"/>
      <c r="I965" s="137" t="s">
        <v>395</v>
      </c>
      <c r="J965" s="216"/>
      <c r="K965" s="10" t="s">
        <v>25</v>
      </c>
      <c r="L965" s="238" t="s">
        <v>645</v>
      </c>
      <c r="M965" s="403" t="s">
        <v>296</v>
      </c>
      <c r="N965" s="426" t="s">
        <v>684</v>
      </c>
      <c r="O965" s="403" t="s">
        <v>296</v>
      </c>
      <c r="P965" s="426" t="s">
        <v>683</v>
      </c>
      <c r="Q965" s="415" t="s">
        <v>296</v>
      </c>
      <c r="R965" s="426" t="s">
        <v>681</v>
      </c>
      <c r="S965" s="403" t="s">
        <v>296</v>
      </c>
      <c r="T965" s="421" t="s">
        <v>681</v>
      </c>
      <c r="U965" s="403" t="s">
        <v>296</v>
      </c>
      <c r="V965" s="421" t="s">
        <v>681</v>
      </c>
    </row>
    <row r="966" spans="1:22" ht="16.5" thickTop="1">
      <c r="A966" s="239" t="s">
        <v>175</v>
      </c>
      <c r="B966" s="181" t="s">
        <v>177</v>
      </c>
      <c r="C966" s="182"/>
      <c r="D966" s="12"/>
      <c r="E966" s="12"/>
      <c r="F966" s="12"/>
      <c r="G966" s="11" t="s">
        <v>45</v>
      </c>
      <c r="H966" s="32" t="s">
        <v>27</v>
      </c>
      <c r="I966" s="6" t="s">
        <v>92</v>
      </c>
      <c r="J966" s="108" t="s">
        <v>29</v>
      </c>
      <c r="K966" s="33" t="s">
        <v>46</v>
      </c>
      <c r="L966" s="208"/>
      <c r="M966" s="25" t="s">
        <v>297</v>
      </c>
      <c r="N966" s="425"/>
      <c r="O966" s="25" t="s">
        <v>750</v>
      </c>
      <c r="P966" s="547"/>
      <c r="Q966" s="416" t="s">
        <v>896</v>
      </c>
      <c r="R966" s="547"/>
      <c r="S966" s="25" t="s">
        <v>957</v>
      </c>
      <c r="T966" s="422"/>
      <c r="U966" s="25" t="s">
        <v>252</v>
      </c>
      <c r="V966" s="422"/>
    </row>
    <row r="967" spans="1:22" ht="13.5" thickBot="1">
      <c r="A967" s="183"/>
      <c r="B967" s="184"/>
      <c r="C967" s="185"/>
      <c r="D967" s="37"/>
      <c r="E967" s="37"/>
      <c r="F967" s="37"/>
      <c r="G967" s="83"/>
      <c r="H967" s="84">
        <v>38335</v>
      </c>
      <c r="I967" s="148">
        <v>38587</v>
      </c>
      <c r="J967" s="110" t="s">
        <v>31</v>
      </c>
      <c r="K967" s="33" t="s">
        <v>32</v>
      </c>
      <c r="L967" s="242"/>
      <c r="M967" s="404"/>
      <c r="N967" s="429"/>
      <c r="O967" s="404"/>
      <c r="P967" s="548"/>
      <c r="Q967" s="411"/>
      <c r="R967" s="548"/>
      <c r="S967" s="404"/>
      <c r="T967" s="423"/>
      <c r="U967" s="404"/>
      <c r="V967" s="423"/>
    </row>
    <row r="968" spans="1:20" ht="13.5" thickBot="1">
      <c r="A968" s="186"/>
      <c r="B968" s="187"/>
      <c r="C968" s="39"/>
      <c r="D968" s="188" t="s">
        <v>48</v>
      </c>
      <c r="E968" s="19"/>
      <c r="F968" s="19"/>
      <c r="G968" s="152">
        <v>1</v>
      </c>
      <c r="H968" s="41">
        <v>2</v>
      </c>
      <c r="I968" s="188">
        <v>3</v>
      </c>
      <c r="J968" s="22">
        <v>4</v>
      </c>
      <c r="K968" s="40">
        <v>1</v>
      </c>
      <c r="L968" s="599">
        <v>1</v>
      </c>
      <c r="M968" s="409"/>
      <c r="N968" s="424"/>
      <c r="P968" s="547"/>
      <c r="R968" s="556"/>
      <c r="T968" s="556"/>
    </row>
    <row r="969" spans="1:21" ht="12.75">
      <c r="A969" s="528"/>
      <c r="B969" s="237" t="s">
        <v>972</v>
      </c>
      <c r="C969" s="168"/>
      <c r="D969" s="168"/>
      <c r="E969" s="168"/>
      <c r="F969" s="4"/>
      <c r="G969" s="529"/>
      <c r="H969" s="521"/>
      <c r="I969" s="5"/>
      <c r="J969" s="5"/>
      <c r="K969" s="6"/>
      <c r="L969" s="45">
        <f>SUM(L971+L973+L975+L997)</f>
        <v>3050</v>
      </c>
      <c r="M969" s="545">
        <f>SUM(M971+M973+M975+M997)</f>
        <v>412</v>
      </c>
      <c r="N969" s="431">
        <f>SUM(M969/L969)*100</f>
        <v>13.508196721311474</v>
      </c>
      <c r="O969" s="412">
        <f>SUM(O971+O973+O975+O997)</f>
        <v>600</v>
      </c>
      <c r="P969" s="484">
        <f>SUM(O969/L969)*100</f>
        <v>19.672131147540984</v>
      </c>
      <c r="Q969" s="412">
        <f>SUM(Q971+Q973+Q975+Q997)</f>
        <v>999</v>
      </c>
      <c r="R969" s="484">
        <f>SUM(Q969/L969)*100</f>
        <v>32.75409836065574</v>
      </c>
      <c r="S969" s="412">
        <f>SUM(S971+S973+S975+S997)</f>
        <v>1175</v>
      </c>
      <c r="T969" s="484">
        <f>SUM(S969/L969)*100</f>
        <v>38.52459016393443</v>
      </c>
      <c r="U969" s="412">
        <f>SUM(U971+U973+U975+U997)</f>
        <v>1420</v>
      </c>
    </row>
    <row r="970" spans="1:20" ht="12.75">
      <c r="A970" s="66"/>
      <c r="B970" s="49"/>
      <c r="C970" s="237"/>
      <c r="D970" s="237"/>
      <c r="E970" s="237"/>
      <c r="F970" s="237"/>
      <c r="G970" s="288">
        <f>SUM(G971:G977)</f>
        <v>305</v>
      </c>
      <c r="H970" s="66">
        <f>SUM(H971:H977)</f>
        <v>440</v>
      </c>
      <c r="I970" s="66">
        <f>SUM(I971:I977)</f>
        <v>440</v>
      </c>
      <c r="J970" s="66">
        <f>SUM(J971:J977)</f>
        <v>155</v>
      </c>
      <c r="K970" s="66">
        <f>SUM(K971:K977)</f>
        <v>440</v>
      </c>
      <c r="L970" s="50"/>
      <c r="M970" s="542"/>
      <c r="N970" s="540"/>
      <c r="P970" s="547"/>
      <c r="R970" s="547"/>
      <c r="T970" s="547"/>
    </row>
    <row r="971" spans="1:21" ht="12.75">
      <c r="A971" s="66">
        <v>610</v>
      </c>
      <c r="B971" s="49" t="s">
        <v>504</v>
      </c>
      <c r="C971" s="49"/>
      <c r="D971" s="49"/>
      <c r="E971" s="49"/>
      <c r="F971" s="49"/>
      <c r="G971" s="284">
        <v>43</v>
      </c>
      <c r="H971" s="14">
        <v>103</v>
      </c>
      <c r="I971" s="13">
        <v>103</v>
      </c>
      <c r="J971" s="13">
        <v>14</v>
      </c>
      <c r="K971" s="14">
        <v>103</v>
      </c>
      <c r="L971" s="50">
        <v>1741</v>
      </c>
      <c r="M971" s="542">
        <v>251</v>
      </c>
      <c r="N971" s="433">
        <f>SUM(M971/L971)*100</f>
        <v>14.417001723147616</v>
      </c>
      <c r="O971" s="399">
        <v>378</v>
      </c>
      <c r="P971" s="433">
        <f>SUM(O971/L971)*100</f>
        <v>21.71165996553705</v>
      </c>
      <c r="Q971" s="399">
        <v>650</v>
      </c>
      <c r="R971" s="433">
        <f>SUM(Q971/L971)*100</f>
        <v>37.33486502010339</v>
      </c>
      <c r="S971" s="399">
        <v>650</v>
      </c>
      <c r="T971" s="433">
        <f>SUM(S971/L971)*100</f>
        <v>37.33486502010339</v>
      </c>
      <c r="U971" s="399">
        <v>814</v>
      </c>
    </row>
    <row r="972" spans="1:20" ht="12.75">
      <c r="A972" s="14"/>
      <c r="B972" s="12"/>
      <c r="C972" s="12"/>
      <c r="D972" s="12"/>
      <c r="E972" s="12"/>
      <c r="F972" s="12"/>
      <c r="G972" s="284"/>
      <c r="H972" s="14"/>
      <c r="I972" s="13"/>
      <c r="J972" s="13"/>
      <c r="K972" s="14"/>
      <c r="L972" s="26"/>
      <c r="M972" s="542"/>
      <c r="N972" s="532"/>
      <c r="P972" s="547"/>
      <c r="R972" s="547"/>
      <c r="T972" s="547"/>
    </row>
    <row r="973" spans="1:21" ht="12.75">
      <c r="A973" s="66">
        <v>620</v>
      </c>
      <c r="B973" s="49" t="s">
        <v>505</v>
      </c>
      <c r="C973" s="49"/>
      <c r="D973" s="49"/>
      <c r="E973" s="49"/>
      <c r="F973" s="49"/>
      <c r="G973" s="284">
        <v>1</v>
      </c>
      <c r="H973" s="14">
        <v>17</v>
      </c>
      <c r="I973" s="13">
        <v>17</v>
      </c>
      <c r="J973" s="13">
        <v>2</v>
      </c>
      <c r="K973" s="14">
        <v>17</v>
      </c>
      <c r="L973" s="50">
        <v>641</v>
      </c>
      <c r="M973" s="542">
        <v>90</v>
      </c>
      <c r="N973" s="433">
        <f>SUM(M973/L973)*100</f>
        <v>14.040561622464898</v>
      </c>
      <c r="O973" s="399">
        <v>136</v>
      </c>
      <c r="P973" s="433">
        <f>SUM(O973/L973)*100</f>
        <v>21.21684867394696</v>
      </c>
      <c r="Q973" s="399">
        <v>236</v>
      </c>
      <c r="R973" s="433">
        <f>SUM(Q973/L973)*100</f>
        <v>36.817472698907956</v>
      </c>
      <c r="S973" s="399">
        <v>236</v>
      </c>
      <c r="T973" s="433">
        <f>SUM(S973/L973)*100</f>
        <v>36.817472698907956</v>
      </c>
      <c r="U973" s="399">
        <v>296</v>
      </c>
    </row>
    <row r="974" spans="1:20" ht="12.75">
      <c r="A974" s="14"/>
      <c r="B974" s="12"/>
      <c r="C974" s="12"/>
      <c r="D974" s="12"/>
      <c r="E974" s="12"/>
      <c r="F974" s="12"/>
      <c r="G974" s="284"/>
      <c r="H974" s="14"/>
      <c r="I974" s="13"/>
      <c r="J974" s="13"/>
      <c r="K974" s="14"/>
      <c r="L974" s="26"/>
      <c r="M974" s="416"/>
      <c r="N974" s="532"/>
      <c r="P974" s="547"/>
      <c r="R974" s="547"/>
      <c r="T974" s="547"/>
    </row>
    <row r="975" spans="1:22" s="130" customFormat="1" ht="12.75">
      <c r="A975" s="66">
        <v>630</v>
      </c>
      <c r="B975" s="49" t="s">
        <v>506</v>
      </c>
      <c r="C975" s="49"/>
      <c r="D975" s="49"/>
      <c r="E975" s="49"/>
      <c r="F975" s="49"/>
      <c r="G975" s="302"/>
      <c r="H975" s="50"/>
      <c r="I975" s="48"/>
      <c r="J975" s="48"/>
      <c r="K975" s="66"/>
      <c r="L975" s="50">
        <f>SUM(L977+L979+L986+L991)</f>
        <v>640</v>
      </c>
      <c r="M975" s="300">
        <f>SUM(M977+M979+M986+M991)</f>
        <v>68</v>
      </c>
      <c r="N975" s="433">
        <f>SUM(M975/L975)*100</f>
        <v>10.625</v>
      </c>
      <c r="O975" s="197">
        <f>SUM(O977+O979+O986+O991)</f>
        <v>83</v>
      </c>
      <c r="P975" s="433">
        <f>SUM(O975/L975)*100</f>
        <v>12.968750000000002</v>
      </c>
      <c r="Q975" s="197">
        <f>SUM(Q977+Q979+Q986+Q991)</f>
        <v>110</v>
      </c>
      <c r="R975" s="433">
        <f>SUM(Q975/L975)*100</f>
        <v>17.1875</v>
      </c>
      <c r="S975" s="197">
        <f>SUM(S977+S979+S986+S991)</f>
        <v>286</v>
      </c>
      <c r="T975" s="433">
        <f>SUM(S975/L975)*100</f>
        <v>44.6875</v>
      </c>
      <c r="U975" s="197">
        <f>SUM(U977+U979+U986+U991)</f>
        <v>307</v>
      </c>
      <c r="V975" s="399"/>
    </row>
    <row r="976" spans="1:22" s="88" customFormat="1" ht="12.75">
      <c r="A976" s="53"/>
      <c r="B976" s="203"/>
      <c r="C976" s="55"/>
      <c r="D976" s="55"/>
      <c r="E976" s="55"/>
      <c r="F976" s="55"/>
      <c r="G976" s="290">
        <v>29</v>
      </c>
      <c r="H976" s="53">
        <v>90</v>
      </c>
      <c r="I976" s="54">
        <v>90</v>
      </c>
      <c r="J976" s="54">
        <v>21</v>
      </c>
      <c r="K976" s="53">
        <v>90</v>
      </c>
      <c r="L976" s="92"/>
      <c r="M976" s="543"/>
      <c r="N976" s="537"/>
      <c r="O976" s="397"/>
      <c r="P976" s="554"/>
      <c r="Q976" s="397"/>
      <c r="R976" s="554"/>
      <c r="S976" s="397"/>
      <c r="T976" s="554"/>
      <c r="U976" s="397"/>
      <c r="V976" s="397"/>
    </row>
    <row r="977" spans="1:22" s="130" customFormat="1" ht="12.75">
      <c r="A977" s="66">
        <v>631</v>
      </c>
      <c r="B977" s="539" t="s">
        <v>507</v>
      </c>
      <c r="C977" s="49"/>
      <c r="D977" s="49"/>
      <c r="E977" s="49"/>
      <c r="F977" s="49"/>
      <c r="G977" s="302">
        <v>232</v>
      </c>
      <c r="H977" s="66">
        <v>230</v>
      </c>
      <c r="I977" s="48">
        <v>230</v>
      </c>
      <c r="J977" s="48">
        <v>118</v>
      </c>
      <c r="K977" s="66">
        <v>230</v>
      </c>
      <c r="L977" s="50">
        <v>8</v>
      </c>
      <c r="M977" s="542">
        <v>3</v>
      </c>
      <c r="N977" s="433">
        <f>SUM(M977/L977)*100</f>
        <v>37.5</v>
      </c>
      <c r="O977" s="399">
        <v>3</v>
      </c>
      <c r="P977" s="433">
        <f>SUM(O977/L977)*100</f>
        <v>37.5</v>
      </c>
      <c r="Q977" s="399">
        <v>3</v>
      </c>
      <c r="R977" s="433">
        <f>SUM(Q977/L977)*100</f>
        <v>37.5</v>
      </c>
      <c r="S977" s="399">
        <v>3</v>
      </c>
      <c r="T977" s="433">
        <f>SUM(S977/L977)*100</f>
        <v>37.5</v>
      </c>
      <c r="U977" s="399">
        <v>3</v>
      </c>
      <c r="V977" s="399"/>
    </row>
    <row r="978" spans="1:22" s="88" customFormat="1" ht="12.75">
      <c r="A978" s="53"/>
      <c r="B978" s="203"/>
      <c r="C978" s="55"/>
      <c r="D978" s="55"/>
      <c r="E978" s="55"/>
      <c r="F978" s="55"/>
      <c r="G978" s="290"/>
      <c r="H978" s="53"/>
      <c r="I978" s="54"/>
      <c r="J978" s="54"/>
      <c r="K978" s="53"/>
      <c r="L978" s="92"/>
      <c r="M978" s="543"/>
      <c r="N978" s="537"/>
      <c r="O978" s="397"/>
      <c r="P978" s="554"/>
      <c r="Q978" s="397"/>
      <c r="R978" s="554"/>
      <c r="S978" s="397"/>
      <c r="T978" s="554"/>
      <c r="U978" s="397"/>
      <c r="V978" s="397"/>
    </row>
    <row r="979" spans="1:22" s="130" customFormat="1" ht="12.75">
      <c r="A979" s="66">
        <v>632</v>
      </c>
      <c r="B979" s="539" t="s">
        <v>234</v>
      </c>
      <c r="C979" s="49"/>
      <c r="D979" s="49"/>
      <c r="E979" s="49"/>
      <c r="F979" s="49"/>
      <c r="G979" s="302"/>
      <c r="H979" s="66"/>
      <c r="I979" s="48"/>
      <c r="J979" s="48"/>
      <c r="K979" s="66"/>
      <c r="L979" s="50">
        <f>SUM(L980+L981+L982)</f>
        <v>416</v>
      </c>
      <c r="M979" s="300">
        <f>SUM(M980+M981+M982)</f>
        <v>39</v>
      </c>
      <c r="N979" s="433">
        <f>SUM(M979/L979)*100</f>
        <v>9.375</v>
      </c>
      <c r="O979" s="197">
        <f>SUM(O980+O981+O982)</f>
        <v>48</v>
      </c>
      <c r="P979" s="433">
        <f aca="true" t="shared" si="186" ref="P979:P984">SUM(O979/L979)*100</f>
        <v>11.538461538461538</v>
      </c>
      <c r="Q979" s="197">
        <f>SUM(Q980+Q981+Q982)</f>
        <v>53</v>
      </c>
      <c r="R979" s="433">
        <f aca="true" t="shared" si="187" ref="R979:R984">SUM(Q979/L979)*100</f>
        <v>12.740384615384615</v>
      </c>
      <c r="S979" s="197">
        <f>SUM(S980+S981+S982)</f>
        <v>189</v>
      </c>
      <c r="T979" s="433">
        <f aca="true" t="shared" si="188" ref="T979:T984">SUM(S979/L979)*100</f>
        <v>45.43269230769231</v>
      </c>
      <c r="U979" s="197">
        <f>SUM(U980+U981+U982)</f>
        <v>196</v>
      </c>
      <c r="V979" s="399"/>
    </row>
    <row r="980" spans="1:22" s="131" customFormat="1" ht="12.75">
      <c r="A980" s="71">
        <v>632001</v>
      </c>
      <c r="B980" s="70" t="s">
        <v>235</v>
      </c>
      <c r="C980" s="24"/>
      <c r="D980" s="24"/>
      <c r="E980" s="24"/>
      <c r="F980" s="24"/>
      <c r="G980" s="261"/>
      <c r="H980" s="71"/>
      <c r="I980" s="58"/>
      <c r="J980" s="58"/>
      <c r="K980" s="71"/>
      <c r="L980" s="92">
        <v>100</v>
      </c>
      <c r="M980" s="543">
        <v>9</v>
      </c>
      <c r="N980" s="430">
        <f>SUM(M980/L980)*100</f>
        <v>9</v>
      </c>
      <c r="O980" s="389">
        <v>11</v>
      </c>
      <c r="P980" s="430">
        <f t="shared" si="186"/>
        <v>11</v>
      </c>
      <c r="Q980" s="389">
        <v>12</v>
      </c>
      <c r="R980" s="430">
        <f t="shared" si="187"/>
        <v>12</v>
      </c>
      <c r="S980" s="389">
        <v>20</v>
      </c>
      <c r="T980" s="430">
        <f t="shared" si="188"/>
        <v>20</v>
      </c>
      <c r="U980" s="389">
        <v>20</v>
      </c>
      <c r="V980" s="389"/>
    </row>
    <row r="981" spans="1:22" s="131" customFormat="1" ht="12.75">
      <c r="A981" s="71">
        <v>632002</v>
      </c>
      <c r="B981" s="70" t="s">
        <v>749</v>
      </c>
      <c r="C981" s="24"/>
      <c r="D981" s="24"/>
      <c r="E981" s="24"/>
      <c r="F981" s="24"/>
      <c r="G981" s="261"/>
      <c r="H981" s="71"/>
      <c r="I981" s="58"/>
      <c r="J981" s="58"/>
      <c r="K981" s="71"/>
      <c r="L981" s="92">
        <v>15</v>
      </c>
      <c r="M981" s="543"/>
      <c r="N981" s="537"/>
      <c r="O981" s="389">
        <v>1</v>
      </c>
      <c r="P981" s="430">
        <f t="shared" si="186"/>
        <v>6.666666666666667</v>
      </c>
      <c r="Q981" s="389">
        <v>1</v>
      </c>
      <c r="R981" s="430">
        <f t="shared" si="187"/>
        <v>6.666666666666667</v>
      </c>
      <c r="S981" s="389">
        <v>1</v>
      </c>
      <c r="T981" s="430">
        <f t="shared" si="188"/>
        <v>6.666666666666667</v>
      </c>
      <c r="U981" s="389">
        <v>1</v>
      </c>
      <c r="V981" s="389"/>
    </row>
    <row r="982" spans="1:22" s="131" customFormat="1" ht="12.75">
      <c r="A982" s="71">
        <v>632003</v>
      </c>
      <c r="B982" s="70" t="s">
        <v>240</v>
      </c>
      <c r="C982" s="24"/>
      <c r="D982" s="24"/>
      <c r="E982" s="24"/>
      <c r="F982" s="24"/>
      <c r="G982" s="261"/>
      <c r="H982" s="71"/>
      <c r="I982" s="58"/>
      <c r="J982" s="58"/>
      <c r="K982" s="71"/>
      <c r="L982" s="92">
        <f>SUM(L983+L984)</f>
        <v>301</v>
      </c>
      <c r="M982" s="156">
        <f>SUM(M983+M984)</f>
        <v>30</v>
      </c>
      <c r="N982" s="430">
        <f>SUM(M982/L982)*100</f>
        <v>9.966777408637874</v>
      </c>
      <c r="O982" s="206">
        <f>SUM(O983+O984)</f>
        <v>36</v>
      </c>
      <c r="P982" s="430">
        <f t="shared" si="186"/>
        <v>11.960132890365449</v>
      </c>
      <c r="Q982" s="206">
        <f>SUM(Q983+Q984)</f>
        <v>40</v>
      </c>
      <c r="R982" s="430">
        <f t="shared" si="187"/>
        <v>13.2890365448505</v>
      </c>
      <c r="S982" s="206">
        <f>SUM(S983+S984)</f>
        <v>168</v>
      </c>
      <c r="T982" s="430">
        <f t="shared" si="188"/>
        <v>55.81395348837209</v>
      </c>
      <c r="U982" s="206">
        <f>SUM(U983+U984)</f>
        <v>175</v>
      </c>
      <c r="V982" s="389"/>
    </row>
    <row r="983" spans="1:22" s="131" customFormat="1" ht="12.75">
      <c r="A983" s="71"/>
      <c r="B983" s="203" t="s">
        <v>746</v>
      </c>
      <c r="C983" s="55"/>
      <c r="D983" s="55"/>
      <c r="E983" s="55"/>
      <c r="F983" s="55"/>
      <c r="G983" s="290"/>
      <c r="H983" s="53"/>
      <c r="I983" s="54"/>
      <c r="J983" s="54"/>
      <c r="K983" s="53"/>
      <c r="L983" s="56">
        <v>85</v>
      </c>
      <c r="M983" s="544">
        <v>12</v>
      </c>
      <c r="N983" s="434">
        <f>SUM(M983/L983)*100</f>
        <v>14.117647058823529</v>
      </c>
      <c r="O983" s="397">
        <v>18</v>
      </c>
      <c r="P983" s="434">
        <f t="shared" si="186"/>
        <v>21.176470588235293</v>
      </c>
      <c r="Q983" s="397">
        <v>22</v>
      </c>
      <c r="R983" s="434">
        <f t="shared" si="187"/>
        <v>25.882352941176475</v>
      </c>
      <c r="S983" s="389">
        <v>28</v>
      </c>
      <c r="T983" s="430">
        <f t="shared" si="188"/>
        <v>32.94117647058823</v>
      </c>
      <c r="U983" s="389">
        <v>35</v>
      </c>
      <c r="V983" s="389"/>
    </row>
    <row r="984" spans="1:22" s="131" customFormat="1" ht="12.75">
      <c r="A984" s="71"/>
      <c r="B984" s="203" t="s">
        <v>747</v>
      </c>
      <c r="C984" s="55"/>
      <c r="D984" s="55"/>
      <c r="E984" s="55"/>
      <c r="F984" s="55"/>
      <c r="G984" s="290"/>
      <c r="H984" s="53"/>
      <c r="I984" s="54"/>
      <c r="J984" s="54"/>
      <c r="K984" s="53"/>
      <c r="L984" s="56">
        <v>216</v>
      </c>
      <c r="M984" s="544">
        <v>18</v>
      </c>
      <c r="N984" s="434">
        <f>SUM(M984/L984)*100</f>
        <v>8.333333333333332</v>
      </c>
      <c r="O984" s="397">
        <v>18</v>
      </c>
      <c r="P984" s="434">
        <f t="shared" si="186"/>
        <v>8.333333333333332</v>
      </c>
      <c r="Q984" s="397">
        <v>18</v>
      </c>
      <c r="R984" s="434">
        <f t="shared" si="187"/>
        <v>8.333333333333332</v>
      </c>
      <c r="S984" s="389">
        <v>140</v>
      </c>
      <c r="T984" s="430">
        <f t="shared" si="188"/>
        <v>64.81481481481481</v>
      </c>
      <c r="U984" s="389">
        <v>140</v>
      </c>
      <c r="V984" s="389"/>
    </row>
    <row r="985" spans="1:20" ht="12.75">
      <c r="A985" s="14"/>
      <c r="B985" s="12"/>
      <c r="C985" s="12"/>
      <c r="D985" s="12"/>
      <c r="E985" s="12"/>
      <c r="F985" s="12"/>
      <c r="G985" s="284"/>
      <c r="H985" s="92"/>
      <c r="I985" s="92"/>
      <c r="J985" s="92"/>
      <c r="K985" s="14"/>
      <c r="L985" s="26"/>
      <c r="M985" s="416"/>
      <c r="N985" s="532"/>
      <c r="P985" s="547"/>
      <c r="R985" s="547"/>
      <c r="T985" s="547"/>
    </row>
    <row r="986" spans="1:21" ht="12.75">
      <c r="A986" s="66">
        <v>633</v>
      </c>
      <c r="B986" s="49" t="s">
        <v>245</v>
      </c>
      <c r="C986" s="237"/>
      <c r="D986" s="237"/>
      <c r="E986" s="237"/>
      <c r="F986" s="237"/>
      <c r="G986" s="288">
        <f aca="true" t="shared" si="189" ref="G986:U986">SUM(G987:G989)</f>
        <v>124</v>
      </c>
      <c r="H986" s="66">
        <f t="shared" si="189"/>
        <v>125</v>
      </c>
      <c r="I986" s="66">
        <f t="shared" si="189"/>
        <v>194</v>
      </c>
      <c r="J986" s="66">
        <f t="shared" si="189"/>
        <v>83</v>
      </c>
      <c r="K986" s="66">
        <f t="shared" si="189"/>
        <v>127</v>
      </c>
      <c r="L986" s="50">
        <f t="shared" si="189"/>
        <v>66</v>
      </c>
      <c r="M986" s="300">
        <f t="shared" si="189"/>
        <v>1</v>
      </c>
      <c r="N986" s="433">
        <f>SUM(M986/L986)*100</f>
        <v>1.5151515151515151</v>
      </c>
      <c r="O986" s="197">
        <f t="shared" si="189"/>
        <v>1</v>
      </c>
      <c r="P986" s="433">
        <f>SUM(O986/L986)*100</f>
        <v>1.5151515151515151</v>
      </c>
      <c r="Q986" s="197">
        <f t="shared" si="189"/>
        <v>17</v>
      </c>
      <c r="R986" s="433">
        <f>SUM(Q986/L986)*100</f>
        <v>25.757575757575758</v>
      </c>
      <c r="S986" s="197">
        <f t="shared" si="189"/>
        <v>30</v>
      </c>
      <c r="T986" s="433">
        <f>SUM(S986/L986)*100</f>
        <v>45.45454545454545</v>
      </c>
      <c r="U986" s="197">
        <f t="shared" si="189"/>
        <v>42</v>
      </c>
    </row>
    <row r="987" spans="1:21" ht="12.75">
      <c r="A987" s="71">
        <v>633006</v>
      </c>
      <c r="B987" s="24" t="s">
        <v>433</v>
      </c>
      <c r="C987" s="12"/>
      <c r="D987" s="12"/>
      <c r="E987" s="12"/>
      <c r="F987" s="12"/>
      <c r="G987" s="284">
        <v>103</v>
      </c>
      <c r="H987" s="92">
        <v>100</v>
      </c>
      <c r="I987" s="92">
        <v>169</v>
      </c>
      <c r="J987" s="92">
        <v>78</v>
      </c>
      <c r="K987" s="14">
        <v>100</v>
      </c>
      <c r="L987" s="26">
        <v>44</v>
      </c>
      <c r="M987" s="416"/>
      <c r="N987" s="532"/>
      <c r="P987" s="547"/>
      <c r="Q987" s="31">
        <v>16</v>
      </c>
      <c r="R987" s="430">
        <f>SUM(Q987/L987)*100</f>
        <v>36.36363636363637</v>
      </c>
      <c r="S987" s="31">
        <v>29</v>
      </c>
      <c r="T987" s="430">
        <f>SUM(S987/L987)*100</f>
        <v>65.9090909090909</v>
      </c>
      <c r="U987" s="31">
        <v>40</v>
      </c>
    </row>
    <row r="988" spans="1:21" ht="12.75">
      <c r="A988" s="14">
        <v>633009</v>
      </c>
      <c r="B988" s="12" t="s">
        <v>508</v>
      </c>
      <c r="C988" s="12"/>
      <c r="D988" s="12"/>
      <c r="E988" s="12"/>
      <c r="F988" s="12"/>
      <c r="G988" s="284">
        <v>6</v>
      </c>
      <c r="H988" s="92">
        <v>20</v>
      </c>
      <c r="I988" s="92">
        <v>20</v>
      </c>
      <c r="J988" s="92">
        <v>3</v>
      </c>
      <c r="K988" s="14">
        <v>20</v>
      </c>
      <c r="L988" s="26">
        <v>17</v>
      </c>
      <c r="M988" s="416">
        <v>1</v>
      </c>
      <c r="N988" s="430">
        <f>SUM(M988/L988)*100</f>
        <v>5.88235294117647</v>
      </c>
      <c r="O988" s="31">
        <v>1</v>
      </c>
      <c r="P988" s="430">
        <f>SUM(O988/L988)*100</f>
        <v>5.88235294117647</v>
      </c>
      <c r="Q988" s="31">
        <v>1</v>
      </c>
      <c r="R988" s="430">
        <f>SUM(Q988/L988)*100</f>
        <v>5.88235294117647</v>
      </c>
      <c r="S988" s="31">
        <v>1</v>
      </c>
      <c r="T988" s="430">
        <f>SUM(S988/L988)*100</f>
        <v>5.88235294117647</v>
      </c>
      <c r="U988" s="31">
        <v>1</v>
      </c>
    </row>
    <row r="989" spans="1:21" ht="12.75">
      <c r="A989" s="14">
        <v>633010</v>
      </c>
      <c r="B989" s="12" t="s">
        <v>263</v>
      </c>
      <c r="C989" s="12"/>
      <c r="D989" s="12"/>
      <c r="E989" s="12"/>
      <c r="F989" s="12"/>
      <c r="G989" s="284">
        <v>15</v>
      </c>
      <c r="H989" s="92">
        <v>5</v>
      </c>
      <c r="I989" s="92">
        <v>5</v>
      </c>
      <c r="J989" s="92">
        <v>2</v>
      </c>
      <c r="K989" s="14">
        <v>7</v>
      </c>
      <c r="L989" s="26">
        <v>5</v>
      </c>
      <c r="M989" s="416"/>
      <c r="N989" s="532"/>
      <c r="P989" s="547"/>
      <c r="R989" s="547"/>
      <c r="T989" s="547"/>
      <c r="U989" s="31">
        <v>1</v>
      </c>
    </row>
    <row r="990" spans="1:20" ht="12.75">
      <c r="A990" s="14"/>
      <c r="B990" s="12"/>
      <c r="C990" s="12"/>
      <c r="D990" s="12"/>
      <c r="E990" s="12"/>
      <c r="F990" s="12"/>
      <c r="G990" s="284"/>
      <c r="H990" s="92"/>
      <c r="I990" s="92"/>
      <c r="J990" s="92"/>
      <c r="K990" s="14"/>
      <c r="L990" s="26"/>
      <c r="M990" s="416"/>
      <c r="N990" s="532"/>
      <c r="P990" s="547"/>
      <c r="R990" s="547"/>
      <c r="T990" s="547"/>
    </row>
    <row r="991" spans="1:21" ht="12.75">
      <c r="A991" s="66">
        <v>637</v>
      </c>
      <c r="B991" s="49" t="s">
        <v>288</v>
      </c>
      <c r="C991" s="237"/>
      <c r="D991" s="237"/>
      <c r="E991" s="237"/>
      <c r="F991" s="237"/>
      <c r="G991" s="198">
        <f>SUM(G992:G994)</f>
        <v>130</v>
      </c>
      <c r="H991" s="66">
        <f>SUM(H992:H994)</f>
        <v>123</v>
      </c>
      <c r="I991" s="66">
        <f>SUM(I992:I994)</f>
        <v>123</v>
      </c>
      <c r="J991" s="66">
        <f>SUM(J992:J994)</f>
        <v>63</v>
      </c>
      <c r="K991" s="66">
        <f>SUM(K992:K994)</f>
        <v>144</v>
      </c>
      <c r="L991" s="50">
        <f>SUM(L992+L993+L994)</f>
        <v>150</v>
      </c>
      <c r="M991" s="300">
        <f>SUM(M992+M993+M994)</f>
        <v>25</v>
      </c>
      <c r="N991" s="433">
        <f>SUM(M991/L991)*100</f>
        <v>16.666666666666664</v>
      </c>
      <c r="O991" s="197">
        <f>SUM(O992+O993+O994)</f>
        <v>31</v>
      </c>
      <c r="P991" s="433">
        <f>SUM(O991/L991)*100</f>
        <v>20.666666666666668</v>
      </c>
      <c r="Q991" s="197">
        <f>SUM(Q992+Q993+Q994+Q995)</f>
        <v>37</v>
      </c>
      <c r="R991" s="433">
        <f>SUM(Q991/L991)*100</f>
        <v>24.666666666666668</v>
      </c>
      <c r="S991" s="197">
        <f>SUM(S992+S993+S994+S995)</f>
        <v>64</v>
      </c>
      <c r="T991" s="433">
        <f>SUM(S991/L991)*100</f>
        <v>42.66666666666667</v>
      </c>
      <c r="U991" s="197">
        <f>SUM(U992+U993+U994+U995)</f>
        <v>66</v>
      </c>
    </row>
    <row r="992" spans="1:21" ht="12.75">
      <c r="A992" s="14">
        <v>637001</v>
      </c>
      <c r="B992" s="12" t="s">
        <v>289</v>
      </c>
      <c r="C992" s="12"/>
      <c r="D992" s="12"/>
      <c r="E992" s="12"/>
      <c r="F992" s="12"/>
      <c r="G992" s="284">
        <v>20</v>
      </c>
      <c r="H992" s="14">
        <v>20</v>
      </c>
      <c r="I992" s="14">
        <v>20</v>
      </c>
      <c r="J992" s="14">
        <v>11</v>
      </c>
      <c r="K992" s="14">
        <v>30</v>
      </c>
      <c r="L992" s="26">
        <v>25</v>
      </c>
      <c r="M992" s="416">
        <v>9</v>
      </c>
      <c r="N992" s="430">
        <f>SUM(M992/L992)*100</f>
        <v>36</v>
      </c>
      <c r="O992" s="31">
        <v>13</v>
      </c>
      <c r="P992" s="430">
        <f>SUM(O992/L992)*100</f>
        <v>52</v>
      </c>
      <c r="Q992" s="31">
        <v>15</v>
      </c>
      <c r="R992" s="430">
        <f>SUM(Q992/L992)*100</f>
        <v>60</v>
      </c>
      <c r="S992" s="31">
        <v>15</v>
      </c>
      <c r="T992" s="430">
        <f>SUM(S992/L992)*100</f>
        <v>60</v>
      </c>
      <c r="U992" s="31">
        <v>15</v>
      </c>
    </row>
    <row r="993" spans="1:21" ht="12.75">
      <c r="A993" s="14">
        <v>637014</v>
      </c>
      <c r="B993" s="12" t="s">
        <v>373</v>
      </c>
      <c r="C993" s="12"/>
      <c r="D993" s="12"/>
      <c r="E993" s="12"/>
      <c r="F993" s="12"/>
      <c r="G993" s="284">
        <v>90</v>
      </c>
      <c r="H993" s="14">
        <v>76</v>
      </c>
      <c r="I993" s="14">
        <v>76</v>
      </c>
      <c r="J993" s="14">
        <v>43</v>
      </c>
      <c r="K993" s="14">
        <v>85</v>
      </c>
      <c r="L993" s="26">
        <v>99</v>
      </c>
      <c r="M993" s="416">
        <v>13</v>
      </c>
      <c r="N993" s="430">
        <f>SUM(M993/L993)*100</f>
        <v>13.131313131313133</v>
      </c>
      <c r="O993" s="31">
        <v>13</v>
      </c>
      <c r="P993" s="430">
        <f>SUM(O993/L993)*100</f>
        <v>13.131313131313133</v>
      </c>
      <c r="Q993" s="31">
        <v>13</v>
      </c>
      <c r="R993" s="430">
        <f>SUM(Q993/L993)*100</f>
        <v>13.131313131313133</v>
      </c>
      <c r="S993" s="31">
        <v>40</v>
      </c>
      <c r="T993" s="430">
        <f>SUM(S993/L993)*100</f>
        <v>40.4040404040404</v>
      </c>
      <c r="U993" s="31">
        <v>40</v>
      </c>
    </row>
    <row r="994" spans="1:21" ht="12.75">
      <c r="A994" s="14">
        <v>637016</v>
      </c>
      <c r="B994" s="12" t="s">
        <v>375</v>
      </c>
      <c r="C994" s="12"/>
      <c r="D994" s="12"/>
      <c r="E994" s="12"/>
      <c r="F994" s="12"/>
      <c r="G994" s="284">
        <v>20</v>
      </c>
      <c r="H994" s="14">
        <v>27</v>
      </c>
      <c r="I994" s="14">
        <v>27</v>
      </c>
      <c r="J994" s="14">
        <v>9</v>
      </c>
      <c r="K994" s="14">
        <v>29</v>
      </c>
      <c r="L994" s="26">
        <v>26</v>
      </c>
      <c r="M994" s="416">
        <v>3</v>
      </c>
      <c r="N994" s="430">
        <f>SUM(M994/L994)*100</f>
        <v>11.538461538461538</v>
      </c>
      <c r="O994" s="31">
        <v>5</v>
      </c>
      <c r="P994" s="430">
        <f>SUM(O994/L994)*100</f>
        <v>19.230769230769234</v>
      </c>
      <c r="Q994" s="31">
        <v>9</v>
      </c>
      <c r="R994" s="430">
        <f>SUM(Q994/L994)*100</f>
        <v>34.61538461538461</v>
      </c>
      <c r="S994" s="31">
        <v>9</v>
      </c>
      <c r="T994" s="430">
        <f>SUM(S994/L994)*100</f>
        <v>34.61538461538461</v>
      </c>
      <c r="U994" s="31">
        <v>11</v>
      </c>
    </row>
    <row r="995" spans="1:20" ht="12.75">
      <c r="A995" s="14">
        <v>637027</v>
      </c>
      <c r="B995" s="12" t="s">
        <v>751</v>
      </c>
      <c r="C995" s="12"/>
      <c r="D995" s="12"/>
      <c r="E995" s="12"/>
      <c r="F995" s="12"/>
      <c r="G995" s="284"/>
      <c r="H995" s="92"/>
      <c r="I995" s="92"/>
      <c r="J995" s="92"/>
      <c r="K995" s="14"/>
      <c r="L995" s="26">
        <v>0</v>
      </c>
      <c r="M995" s="416"/>
      <c r="N995" s="532"/>
      <c r="P995" s="547"/>
      <c r="R995" s="547"/>
      <c r="T995" s="547"/>
    </row>
    <row r="996" spans="1:20" ht="12.75">
      <c r="A996" s="14"/>
      <c r="B996" s="12"/>
      <c r="C996" s="12"/>
      <c r="D996" s="12"/>
      <c r="E996" s="12"/>
      <c r="F996" s="12"/>
      <c r="G996" s="284"/>
      <c r="H996" s="92"/>
      <c r="I996" s="92"/>
      <c r="J996" s="92"/>
      <c r="K996" s="14"/>
      <c r="L996" s="26"/>
      <c r="M996" s="416"/>
      <c r="N996" s="532"/>
      <c r="P996" s="547"/>
      <c r="R996" s="547"/>
      <c r="T996" s="547"/>
    </row>
    <row r="997" spans="1:21" ht="12.75">
      <c r="A997" s="66">
        <v>642</v>
      </c>
      <c r="B997" s="49" t="s">
        <v>509</v>
      </c>
      <c r="C997" s="49"/>
      <c r="D997" s="49"/>
      <c r="E997" s="49"/>
      <c r="F997" s="49"/>
      <c r="G997" s="198">
        <f aca="true" t="shared" si="190" ref="G997:L997">SUM(G998)</f>
        <v>3</v>
      </c>
      <c r="H997" s="302">
        <f t="shared" si="190"/>
        <v>20</v>
      </c>
      <c r="I997" s="302">
        <f t="shared" si="190"/>
        <v>20</v>
      </c>
      <c r="J997" s="302">
        <f t="shared" si="190"/>
        <v>5</v>
      </c>
      <c r="K997" s="302">
        <f t="shared" si="190"/>
        <v>30</v>
      </c>
      <c r="L997" s="298">
        <f t="shared" si="190"/>
        <v>28</v>
      </c>
      <c r="M997" s="533">
        <v>3</v>
      </c>
      <c r="N997" s="433">
        <f>SUM(M997/L997)*100</f>
        <v>10.714285714285714</v>
      </c>
      <c r="O997" s="399">
        <v>3</v>
      </c>
      <c r="P997" s="433">
        <f>SUM(O997/L997)*100</f>
        <v>10.714285714285714</v>
      </c>
      <c r="Q997" s="399">
        <v>3</v>
      </c>
      <c r="R997" s="433">
        <f>SUM(Q997/L997)*100</f>
        <v>10.714285714285714</v>
      </c>
      <c r="S997" s="399">
        <v>3</v>
      </c>
      <c r="T997" s="433">
        <f>SUM(S997/L997)*100</f>
        <v>10.714285714285714</v>
      </c>
      <c r="U997" s="399">
        <v>3</v>
      </c>
    </row>
    <row r="998" spans="1:21" ht="12.75">
      <c r="A998" s="14">
        <v>642015</v>
      </c>
      <c r="B998" s="12" t="s">
        <v>418</v>
      </c>
      <c r="C998" s="12"/>
      <c r="D998" s="12"/>
      <c r="E998" s="12"/>
      <c r="F998" s="12"/>
      <c r="G998" s="53">
        <v>3</v>
      </c>
      <c r="H998" s="92">
        <v>20</v>
      </c>
      <c r="I998" s="92">
        <v>20</v>
      </c>
      <c r="J998" s="92">
        <v>5</v>
      </c>
      <c r="K998" s="14">
        <v>30</v>
      </c>
      <c r="L998" s="26">
        <v>28</v>
      </c>
      <c r="M998" s="416">
        <v>3</v>
      </c>
      <c r="N998" s="430">
        <f>SUM(M998/L998)*100</f>
        <v>10.714285714285714</v>
      </c>
      <c r="O998" s="31">
        <v>3</v>
      </c>
      <c r="P998" s="430">
        <f>SUM(O998/L998)*100</f>
        <v>10.714285714285714</v>
      </c>
      <c r="Q998" s="31">
        <v>3</v>
      </c>
      <c r="R998" s="430">
        <f>SUM(Q998/L998)*100</f>
        <v>10.714285714285714</v>
      </c>
      <c r="S998" s="31">
        <v>3</v>
      </c>
      <c r="T998" s="430">
        <f>SUM(S998/L998)*100</f>
        <v>10.714285714285714</v>
      </c>
      <c r="U998" s="31">
        <v>3</v>
      </c>
    </row>
    <row r="999" spans="1:20" ht="13.5" thickBot="1">
      <c r="A999" s="14"/>
      <c r="B999" s="12"/>
      <c r="C999" s="12"/>
      <c r="D999" s="12"/>
      <c r="E999" s="12"/>
      <c r="F999" s="12"/>
      <c r="G999" s="284"/>
      <c r="H999" s="92"/>
      <c r="I999" s="92"/>
      <c r="J999" s="92"/>
      <c r="K999" s="14"/>
      <c r="L999" s="26"/>
      <c r="M999" s="411"/>
      <c r="N999" s="532"/>
      <c r="O999" s="411"/>
      <c r="P999" s="548"/>
      <c r="Q999" s="411"/>
      <c r="R999" s="548"/>
      <c r="S999" s="411"/>
      <c r="T999" s="548"/>
    </row>
    <row r="1000" spans="1:14" ht="12.75">
      <c r="A1000" s="4"/>
      <c r="B1000" s="4"/>
      <c r="C1000" s="4"/>
      <c r="D1000" s="4"/>
      <c r="E1000" s="4"/>
      <c r="F1000" s="4"/>
      <c r="G1000" s="488"/>
      <c r="H1000" s="489"/>
      <c r="I1000" s="489"/>
      <c r="J1000" s="489"/>
      <c r="K1000" s="4"/>
      <c r="L1000" s="419"/>
      <c r="M1000" s="419"/>
      <c r="N1000" s="490"/>
    </row>
    <row r="1001" spans="1:14" ht="12.75">
      <c r="A1001" s="12" t="s">
        <v>875</v>
      </c>
      <c r="B1001" s="12"/>
      <c r="C1001" s="12"/>
      <c r="D1001" s="12"/>
      <c r="E1001" s="12"/>
      <c r="F1001" s="12"/>
      <c r="G1001" s="162"/>
      <c r="H1001" s="91"/>
      <c r="I1001" s="91"/>
      <c r="J1001" s="91"/>
      <c r="K1001" s="12"/>
      <c r="L1001" s="52"/>
      <c r="M1001" s="52"/>
      <c r="N1001" s="428"/>
    </row>
    <row r="1002" spans="1:14" ht="12.75">
      <c r="A1002" s="12" t="s">
        <v>876</v>
      </c>
      <c r="B1002" s="12"/>
      <c r="C1002" s="12"/>
      <c r="D1002" s="12"/>
      <c r="E1002" s="12"/>
      <c r="F1002" s="12"/>
      <c r="G1002" s="162"/>
      <c r="H1002" s="91"/>
      <c r="I1002" s="91"/>
      <c r="J1002" s="91"/>
      <c r="K1002" s="12"/>
      <c r="L1002" s="52"/>
      <c r="M1002" s="52"/>
      <c r="N1002" s="428"/>
    </row>
    <row r="1003" spans="1:14" ht="12.75">
      <c r="A1003" s="12" t="s">
        <v>877</v>
      </c>
      <c r="B1003" s="12"/>
      <c r="C1003" s="12"/>
      <c r="D1003" s="12"/>
      <c r="E1003" s="12"/>
      <c r="F1003" s="12"/>
      <c r="G1003" s="162"/>
      <c r="H1003" s="91"/>
      <c r="I1003" s="91"/>
      <c r="J1003" s="91"/>
      <c r="K1003" s="12"/>
      <c r="L1003" s="52"/>
      <c r="M1003" s="52"/>
      <c r="N1003" s="428"/>
    </row>
    <row r="1004" spans="1:14" ht="12.75">
      <c r="A1004" s="12" t="s">
        <v>878</v>
      </c>
      <c r="B1004" s="12"/>
      <c r="C1004" s="12"/>
      <c r="D1004" s="12"/>
      <c r="E1004" s="12"/>
      <c r="F1004" s="12"/>
      <c r="G1004" s="162"/>
      <c r="H1004" s="91"/>
      <c r="I1004" s="91"/>
      <c r="J1004" s="91"/>
      <c r="K1004" s="12"/>
      <c r="L1004" s="52"/>
      <c r="M1004" s="52"/>
      <c r="N1004" s="428"/>
    </row>
    <row r="1005" spans="1:14" ht="12.75">
      <c r="A1005" s="12" t="s">
        <v>879</v>
      </c>
      <c r="B1005" s="12"/>
      <c r="C1005" s="12"/>
      <c r="D1005" s="12"/>
      <c r="E1005" s="12"/>
      <c r="F1005" s="12"/>
      <c r="G1005" s="162"/>
      <c r="H1005" s="91"/>
      <c r="I1005" s="91"/>
      <c r="J1005" s="91"/>
      <c r="K1005" s="12"/>
      <c r="L1005" s="52"/>
      <c r="M1005" s="52"/>
      <c r="N1005" s="428"/>
    </row>
    <row r="1006" spans="1:14" ht="12.75">
      <c r="A1006" s="237" t="s">
        <v>880</v>
      </c>
      <c r="B1006" s="12"/>
      <c r="C1006" s="12"/>
      <c r="D1006" s="12"/>
      <c r="E1006" s="12"/>
      <c r="F1006" s="12"/>
      <c r="G1006" s="162"/>
      <c r="H1006" s="91"/>
      <c r="I1006" s="91"/>
      <c r="J1006" s="91"/>
      <c r="K1006" s="12"/>
      <c r="L1006" s="52"/>
      <c r="M1006" s="52"/>
      <c r="N1006" s="428"/>
    </row>
    <row r="1007" spans="1:14" ht="12.75">
      <c r="A1007" s="12" t="s">
        <v>881</v>
      </c>
      <c r="B1007" s="12"/>
      <c r="C1007" s="12"/>
      <c r="D1007" s="12"/>
      <c r="E1007" s="12"/>
      <c r="F1007" s="12"/>
      <c r="G1007" s="162"/>
      <c r="H1007" s="91"/>
      <c r="I1007" s="91"/>
      <c r="J1007" s="91"/>
      <c r="K1007" s="12"/>
      <c r="L1007" s="52"/>
      <c r="N1007" s="428"/>
    </row>
    <row r="1008" spans="1:14" ht="12.75">
      <c r="A1008" s="12" t="s">
        <v>676</v>
      </c>
      <c r="B1008" s="12"/>
      <c r="C1008" s="12"/>
      <c r="D1008" s="12"/>
      <c r="E1008" s="12"/>
      <c r="F1008" s="12"/>
      <c r="G1008" s="162"/>
      <c r="H1008" s="91"/>
      <c r="I1008" s="91"/>
      <c r="J1008" s="91"/>
      <c r="K1008" s="12"/>
      <c r="L1008" s="52"/>
      <c r="N1008" s="428"/>
    </row>
    <row r="1009" spans="1:14" ht="12.75">
      <c r="A1009" s="12"/>
      <c r="B1009" s="12"/>
      <c r="C1009" s="12"/>
      <c r="D1009" s="12"/>
      <c r="E1009" s="12"/>
      <c r="F1009" s="12"/>
      <c r="G1009" s="162"/>
      <c r="H1009" s="91"/>
      <c r="I1009" s="91"/>
      <c r="J1009" s="91"/>
      <c r="K1009" s="12"/>
      <c r="L1009" s="52"/>
      <c r="N1009" s="428"/>
    </row>
    <row r="1010" spans="1:14" ht="12.75">
      <c r="A1010" s="12"/>
      <c r="B1010" s="12"/>
      <c r="C1010" s="12"/>
      <c r="D1010" s="12"/>
      <c r="E1010" s="12"/>
      <c r="F1010" s="12"/>
      <c r="G1010" s="162"/>
      <c r="H1010" s="91"/>
      <c r="I1010" s="91"/>
      <c r="J1010" s="91"/>
      <c r="K1010" s="12"/>
      <c r="L1010" s="52"/>
      <c r="N1010" s="428"/>
    </row>
    <row r="1011" spans="1:14" ht="12.75">
      <c r="A1011" s="12"/>
      <c r="B1011" s="12"/>
      <c r="C1011" s="12"/>
      <c r="D1011" s="12"/>
      <c r="E1011" s="12"/>
      <c r="F1011" s="12"/>
      <c r="G1011" s="162"/>
      <c r="H1011" s="91"/>
      <c r="I1011" s="91"/>
      <c r="J1011" s="91"/>
      <c r="K1011" s="12"/>
      <c r="L1011" s="52"/>
      <c r="N1011" s="428"/>
    </row>
    <row r="1012" spans="1:14" ht="12.75">
      <c r="A1012" s="12"/>
      <c r="B1012" s="12"/>
      <c r="C1012" s="12"/>
      <c r="D1012" s="12"/>
      <c r="E1012" s="12"/>
      <c r="F1012" s="12"/>
      <c r="G1012" s="162"/>
      <c r="H1012" s="91"/>
      <c r="I1012" s="91"/>
      <c r="J1012" s="91"/>
      <c r="K1012" s="12"/>
      <c r="L1012" s="52"/>
      <c r="N1012" s="428"/>
    </row>
    <row r="1013" spans="1:14" ht="12.75">
      <c r="A1013" s="12"/>
      <c r="B1013" s="12"/>
      <c r="C1013" s="12"/>
      <c r="D1013" s="12"/>
      <c r="E1013" s="12"/>
      <c r="F1013" s="12"/>
      <c r="G1013" s="162"/>
      <c r="H1013" s="91"/>
      <c r="I1013" s="91"/>
      <c r="J1013" s="91"/>
      <c r="K1013" s="12"/>
      <c r="L1013" s="52"/>
      <c r="N1013" s="428"/>
    </row>
    <row r="1014" ht="13.5" thickBot="1"/>
    <row r="1015" spans="1:22" ht="13.5" thickBot="1">
      <c r="A1015" s="177" t="s">
        <v>44</v>
      </c>
      <c r="B1015" s="178"/>
      <c r="C1015" s="178"/>
      <c r="D1015" s="179"/>
      <c r="E1015" s="179"/>
      <c r="F1015" s="179"/>
      <c r="G1015" s="15" t="s">
        <v>23</v>
      </c>
      <c r="H1015" s="136"/>
      <c r="I1015" s="137" t="s">
        <v>395</v>
      </c>
      <c r="J1015" s="216"/>
      <c r="K1015" s="10" t="s">
        <v>25</v>
      </c>
      <c r="L1015" s="238" t="s">
        <v>645</v>
      </c>
      <c r="M1015" s="403" t="s">
        <v>296</v>
      </c>
      <c r="N1015" s="426" t="s">
        <v>684</v>
      </c>
      <c r="O1015" s="403" t="s">
        <v>296</v>
      </c>
      <c r="P1015" s="426" t="s">
        <v>683</v>
      </c>
      <c r="Q1015" s="415" t="s">
        <v>296</v>
      </c>
      <c r="R1015" s="426" t="s">
        <v>681</v>
      </c>
      <c r="S1015" s="403" t="s">
        <v>296</v>
      </c>
      <c r="T1015" s="421" t="s">
        <v>681</v>
      </c>
      <c r="U1015" s="403" t="s">
        <v>296</v>
      </c>
      <c r="V1015" s="421" t="s">
        <v>681</v>
      </c>
    </row>
    <row r="1016" spans="1:22" ht="16.5" thickTop="1">
      <c r="A1016" s="239" t="s">
        <v>178</v>
      </c>
      <c r="B1016" s="181" t="s">
        <v>179</v>
      </c>
      <c r="C1016" s="182"/>
      <c r="D1016" s="12"/>
      <c r="E1016" s="12"/>
      <c r="F1016" s="12"/>
      <c r="G1016" s="11" t="s">
        <v>45</v>
      </c>
      <c r="H1016" s="32" t="s">
        <v>27</v>
      </c>
      <c r="I1016" s="6" t="s">
        <v>92</v>
      </c>
      <c r="J1016" s="108" t="s">
        <v>29</v>
      </c>
      <c r="K1016" s="33" t="s">
        <v>46</v>
      </c>
      <c r="L1016" s="208"/>
      <c r="M1016" s="25" t="s">
        <v>297</v>
      </c>
      <c r="N1016" s="425"/>
      <c r="O1016" s="25" t="s">
        <v>750</v>
      </c>
      <c r="P1016" s="547"/>
      <c r="Q1016" s="416" t="s">
        <v>896</v>
      </c>
      <c r="R1016" s="547"/>
      <c r="S1016" s="25" t="s">
        <v>957</v>
      </c>
      <c r="T1016" s="422"/>
      <c r="U1016" s="25" t="s">
        <v>252</v>
      </c>
      <c r="V1016" s="422"/>
    </row>
    <row r="1017" spans="1:22" ht="13.5" thickBot="1">
      <c r="A1017" s="183"/>
      <c r="B1017" s="184"/>
      <c r="C1017" s="185"/>
      <c r="D1017" s="37"/>
      <c r="E1017" s="37"/>
      <c r="F1017" s="37"/>
      <c r="G1017" s="83"/>
      <c r="H1017" s="84">
        <v>38335</v>
      </c>
      <c r="I1017" s="148">
        <v>38587</v>
      </c>
      <c r="J1017" s="110" t="s">
        <v>31</v>
      </c>
      <c r="K1017" s="33" t="s">
        <v>32</v>
      </c>
      <c r="L1017" s="242"/>
      <c r="M1017" s="404"/>
      <c r="N1017" s="429"/>
      <c r="O1017" s="404"/>
      <c r="P1017" s="548"/>
      <c r="Q1017" s="411"/>
      <c r="R1017" s="548"/>
      <c r="S1017" s="404"/>
      <c r="T1017" s="423"/>
      <c r="U1017" s="404"/>
      <c r="V1017" s="423"/>
    </row>
    <row r="1018" spans="1:20" ht="13.5" thickBot="1">
      <c r="A1018" s="186" t="s">
        <v>47</v>
      </c>
      <c r="B1018" s="187"/>
      <c r="C1018" s="39"/>
      <c r="D1018" s="188" t="s">
        <v>48</v>
      </c>
      <c r="E1018" s="19"/>
      <c r="F1018" s="19"/>
      <c r="G1018" s="152">
        <v>1</v>
      </c>
      <c r="H1018" s="41">
        <v>2</v>
      </c>
      <c r="I1018" s="188">
        <v>3</v>
      </c>
      <c r="J1018" s="22">
        <v>4</v>
      </c>
      <c r="K1018" s="40">
        <v>1</v>
      </c>
      <c r="L1018" s="599">
        <v>1</v>
      </c>
      <c r="M1018" s="409"/>
      <c r="N1018" s="424"/>
      <c r="P1018" s="547"/>
      <c r="R1018" s="556"/>
      <c r="T1018" s="556"/>
    </row>
    <row r="1019" spans="1:22" s="28" customFormat="1" ht="15">
      <c r="A1019" s="445"/>
      <c r="B1019" s="449" t="s">
        <v>228</v>
      </c>
      <c r="C1019" s="372"/>
      <c r="D1019" s="373"/>
      <c r="E1019" s="373"/>
      <c r="F1019" s="373"/>
      <c r="G1019" s="390" t="e">
        <f>G1028+G1036+G1045+G1059+G1041+G1049+G1051+#REF!+G1033</f>
        <v>#REF!</v>
      </c>
      <c r="H1019" s="390">
        <f>H1028+H1036+H1045+H1059+H1041+H1049+H1051+H1033</f>
        <v>33567</v>
      </c>
      <c r="I1019" s="390" t="e">
        <f>I1028+I1036+I1045+I1059++I1041+I1049+I1051+I1033</f>
        <v>#REF!</v>
      </c>
      <c r="J1019" s="390" t="e">
        <f>J1028+J1036+J1045+J1059+J1041+J1049+J1051+J1033</f>
        <v>#REF!</v>
      </c>
      <c r="K1019" s="390" t="e">
        <f>K1028+K1036+K1045+K1059+K1041+K1049+K1051+K1033</f>
        <v>#REF!</v>
      </c>
      <c r="L1019" s="390">
        <f>L1025+L1028+L1033+L1036+L1041+L1044</f>
        <v>86404</v>
      </c>
      <c r="M1019" s="392">
        <f>M1025+M1028+M1036+M1045+M1059+M1041+M1049+M1051+M1033</f>
        <v>17097</v>
      </c>
      <c r="N1019" s="440">
        <f>SUM(M1019/L1019)*100</f>
        <v>19.78727836674228</v>
      </c>
      <c r="O1019" s="392">
        <f>O1025+O1028+O1036+O1045+O1059+O1041+O1049+O1051+O1033</f>
        <v>23757</v>
      </c>
      <c r="P1019" s="567">
        <f>SUM(O1019/L1019)*100</f>
        <v>27.495254849312534</v>
      </c>
      <c r="Q1019" s="392">
        <f>Q1022+Q1025+Q1028+Q1036+Q1045+Q1059+Q1041+Q1049+Q1051+Q1033</f>
        <v>35352</v>
      </c>
      <c r="R1019" s="567">
        <f>SUM(Q1019/L1019)*100</f>
        <v>40.914772464237764</v>
      </c>
      <c r="S1019" s="392">
        <f>S1022+S1025+S1028+S1036+S1045+S1059+S1041+S1049+S1051+S1033</f>
        <v>38150</v>
      </c>
      <c r="T1019" s="567">
        <f>SUM(S1019/L1019)*100</f>
        <v>44.15304846997824</v>
      </c>
      <c r="U1019" s="392">
        <f>U1022+U1025+U1028+U1036+U1045+U1059+U1041+U1049+U1051+U1033</f>
        <v>41258</v>
      </c>
      <c r="V1019" s="783"/>
    </row>
    <row r="1020" spans="1:22" s="275" customFormat="1" ht="15">
      <c r="A1020" s="98"/>
      <c r="B1020" s="498" t="s">
        <v>37</v>
      </c>
      <c r="C1020" s="63"/>
      <c r="D1020" s="63"/>
      <c r="E1020" s="63"/>
      <c r="F1020" s="63"/>
      <c r="G1020" s="496"/>
      <c r="H1020" s="65"/>
      <c r="I1020" s="64"/>
      <c r="J1020" s="497"/>
      <c r="K1020" s="64"/>
      <c r="L1020" s="64">
        <f>SUM(L1025+L1028+L1033+L1036+L1041)</f>
        <v>33033</v>
      </c>
      <c r="M1020" s="494">
        <f>SUM(M1025+M1028+M1033+M1036+M1041)</f>
        <v>12207</v>
      </c>
      <c r="N1020" s="516">
        <f>SUM(M1020/L1020)*100</f>
        <v>36.95395513577332</v>
      </c>
      <c r="O1020" s="494">
        <f>SUM(O1025+O1028+O1033+O1036+O1041)</f>
        <v>14528</v>
      </c>
      <c r="P1020" s="516">
        <f>SUM(O1020/L1020)*100</f>
        <v>43.980262162080344</v>
      </c>
      <c r="Q1020" s="413">
        <f>SUM(Q1022+Q1025+Q1028+Q1033+Q1036+Q1041)</f>
        <v>17927</v>
      </c>
      <c r="R1020" s="432">
        <f>SUM(Q1020/L1020)*100</f>
        <v>54.269972451790636</v>
      </c>
      <c r="S1020" s="413">
        <f>SUM(S1022+S1025+S1028+S1033+S1036+S1041)</f>
        <v>20637</v>
      </c>
      <c r="T1020" s="432">
        <f>SUM(S1020/L1020)*100</f>
        <v>62.47388974661702</v>
      </c>
      <c r="U1020" s="413">
        <f>SUM(U1022+U1025+U1028+U1033+U1036+U1041)</f>
        <v>22982</v>
      </c>
      <c r="V1020" s="370"/>
    </row>
    <row r="1021" spans="1:22" s="275" customFormat="1" ht="15">
      <c r="A1021" s="98"/>
      <c r="B1021" s="498"/>
      <c r="C1021" s="63"/>
      <c r="D1021" s="63"/>
      <c r="E1021" s="63"/>
      <c r="F1021" s="63"/>
      <c r="G1021" s="496"/>
      <c r="H1021" s="65"/>
      <c r="I1021" s="64"/>
      <c r="J1021" s="497"/>
      <c r="K1021" s="64"/>
      <c r="L1021" s="64"/>
      <c r="M1021" s="65"/>
      <c r="N1021" s="516"/>
      <c r="O1021" s="494"/>
      <c r="P1021" s="516"/>
      <c r="Q1021" s="370"/>
      <c r="R1021" s="553"/>
      <c r="S1021" s="370"/>
      <c r="T1021" s="553"/>
      <c r="U1021" s="370"/>
      <c r="V1021" s="370"/>
    </row>
    <row r="1022" spans="1:22" s="130" customFormat="1" ht="12.75">
      <c r="A1022" s="199">
        <v>632</v>
      </c>
      <c r="B1022" s="291" t="s">
        <v>897</v>
      </c>
      <c r="C1022" s="49"/>
      <c r="D1022" s="49"/>
      <c r="E1022" s="49"/>
      <c r="F1022" s="49"/>
      <c r="G1022" s="298"/>
      <c r="H1022" s="51"/>
      <c r="I1022" s="50"/>
      <c r="J1022" s="319"/>
      <c r="K1022" s="50"/>
      <c r="L1022" s="50">
        <v>0</v>
      </c>
      <c r="M1022" s="51"/>
      <c r="N1022" s="540"/>
      <c r="O1022" s="542"/>
      <c r="P1022" s="540"/>
      <c r="Q1022" s="399">
        <v>154</v>
      </c>
      <c r="R1022" s="552"/>
      <c r="S1022" s="399">
        <v>154</v>
      </c>
      <c r="T1022" s="552"/>
      <c r="U1022" s="399">
        <v>154</v>
      </c>
      <c r="V1022" s="399"/>
    </row>
    <row r="1023" spans="1:22" s="131" customFormat="1" ht="12.75">
      <c r="A1023" s="23"/>
      <c r="B1023" s="292" t="s">
        <v>898</v>
      </c>
      <c r="C1023" s="24"/>
      <c r="D1023" s="24"/>
      <c r="E1023" s="24"/>
      <c r="F1023" s="24"/>
      <c r="G1023" s="304"/>
      <c r="H1023" s="91"/>
      <c r="I1023" s="92"/>
      <c r="J1023" s="320"/>
      <c r="K1023" s="92"/>
      <c r="L1023" s="92"/>
      <c r="M1023" s="91"/>
      <c r="N1023" s="537"/>
      <c r="O1023" s="543"/>
      <c r="P1023" s="537"/>
      <c r="Q1023" s="389">
        <v>154</v>
      </c>
      <c r="R1023" s="549"/>
      <c r="S1023" s="389">
        <v>154</v>
      </c>
      <c r="T1023" s="549"/>
      <c r="U1023" s="389">
        <v>154</v>
      </c>
      <c r="V1023" s="389"/>
    </row>
    <row r="1024" spans="1:22" s="109" customFormat="1" ht="12.75">
      <c r="A1024" s="394"/>
      <c r="B1024" s="395"/>
      <c r="C1024" s="237"/>
      <c r="D1024" s="237"/>
      <c r="E1024" s="237"/>
      <c r="F1024" s="237"/>
      <c r="G1024" s="321"/>
      <c r="H1024" s="122"/>
      <c r="I1024" s="375"/>
      <c r="J1024" s="396"/>
      <c r="K1024" s="375"/>
      <c r="L1024" s="375"/>
      <c r="M1024" s="122"/>
      <c r="N1024" s="493"/>
      <c r="O1024" s="122"/>
      <c r="P1024" s="431"/>
      <c r="Q1024" s="121"/>
      <c r="R1024" s="550"/>
      <c r="S1024" s="121"/>
      <c r="T1024" s="550"/>
      <c r="U1024" s="121"/>
      <c r="V1024" s="121"/>
    </row>
    <row r="1025" spans="1:22" s="130" customFormat="1" ht="12.75">
      <c r="A1025" s="199">
        <v>633</v>
      </c>
      <c r="B1025" s="291" t="s">
        <v>433</v>
      </c>
      <c r="C1025" s="49"/>
      <c r="D1025" s="49"/>
      <c r="E1025" s="49"/>
      <c r="F1025" s="49"/>
      <c r="G1025" s="298"/>
      <c r="H1025" s="51"/>
      <c r="I1025" s="50"/>
      <c r="J1025" s="319"/>
      <c r="K1025" s="50"/>
      <c r="L1025" s="50">
        <v>50</v>
      </c>
      <c r="M1025" s="399">
        <v>50</v>
      </c>
      <c r="N1025" s="433"/>
      <c r="O1025" s="399">
        <v>50</v>
      </c>
      <c r="P1025" s="552"/>
      <c r="Q1025" s="399">
        <v>50</v>
      </c>
      <c r="R1025" s="433">
        <f>SUM(Q1025/L1025)*100</f>
        <v>100</v>
      </c>
      <c r="S1025" s="399">
        <v>50</v>
      </c>
      <c r="T1025" s="433">
        <f>SUM(S1025/L1025)*100</f>
        <v>100</v>
      </c>
      <c r="U1025" s="399">
        <v>50</v>
      </c>
      <c r="V1025" s="399"/>
    </row>
    <row r="1026" spans="1:22" s="131" customFormat="1" ht="12.75">
      <c r="A1026" s="23">
        <v>633006</v>
      </c>
      <c r="B1026" s="292" t="s">
        <v>760</v>
      </c>
      <c r="C1026" s="24"/>
      <c r="D1026" s="24"/>
      <c r="E1026" s="24"/>
      <c r="F1026" s="24"/>
      <c r="G1026" s="304"/>
      <c r="H1026" s="91"/>
      <c r="I1026" s="92"/>
      <c r="J1026" s="320"/>
      <c r="K1026" s="92"/>
      <c r="L1026" s="92">
        <v>50</v>
      </c>
      <c r="M1026" s="389"/>
      <c r="N1026" s="430"/>
      <c r="O1026" s="389">
        <v>50</v>
      </c>
      <c r="P1026" s="549"/>
      <c r="Q1026" s="389">
        <v>50</v>
      </c>
      <c r="R1026" s="430">
        <f>SUM(Q1026/L1026)*100</f>
        <v>100</v>
      </c>
      <c r="S1026" s="389">
        <v>50</v>
      </c>
      <c r="T1026" s="430">
        <f>SUM(S1026/L1026)*100</f>
        <v>100</v>
      </c>
      <c r="U1026" s="389">
        <v>50</v>
      </c>
      <c r="V1026" s="389"/>
    </row>
    <row r="1027" spans="1:20" ht="12.75">
      <c r="A1027" s="11"/>
      <c r="B1027" s="294"/>
      <c r="C1027" s="12"/>
      <c r="D1027" s="12"/>
      <c r="E1027" s="12"/>
      <c r="F1027" s="12"/>
      <c r="G1027" s="155"/>
      <c r="H1027" s="52"/>
      <c r="I1027" s="26"/>
      <c r="J1027" s="29"/>
      <c r="K1027" s="26"/>
      <c r="L1027" s="26"/>
      <c r="N1027" s="425"/>
      <c r="P1027" s="547"/>
      <c r="R1027" s="547"/>
      <c r="T1027" s="547"/>
    </row>
    <row r="1028" spans="1:22" s="131" customFormat="1" ht="12.75">
      <c r="A1028" s="199">
        <v>635</v>
      </c>
      <c r="B1028" s="291" t="s">
        <v>277</v>
      </c>
      <c r="C1028" s="49"/>
      <c r="D1028" s="24"/>
      <c r="E1028" s="24"/>
      <c r="F1028" s="24"/>
      <c r="G1028" s="298">
        <f aca="true" t="shared" si="191" ref="G1028:O1028">SUM(G1029)</f>
        <v>13041</v>
      </c>
      <c r="H1028" s="51">
        <f t="shared" si="191"/>
        <v>12452</v>
      </c>
      <c r="I1028" s="50">
        <f t="shared" si="191"/>
        <v>14648</v>
      </c>
      <c r="J1028" s="319">
        <f t="shared" si="191"/>
        <v>10753</v>
      </c>
      <c r="K1028" s="50">
        <f t="shared" si="191"/>
        <v>19648</v>
      </c>
      <c r="L1028" s="50">
        <f>SUM(L1029+L1030)</f>
        <v>15794</v>
      </c>
      <c r="M1028" s="197">
        <f t="shared" si="191"/>
        <v>7298</v>
      </c>
      <c r="N1028" s="433">
        <f>SUM(M1028/L1028)*100</f>
        <v>46.20742053944536</v>
      </c>
      <c r="O1028" s="197">
        <f t="shared" si="191"/>
        <v>8405</v>
      </c>
      <c r="P1028" s="433">
        <f>SUM(O1028/L1028)*100</f>
        <v>53.21641129542864</v>
      </c>
      <c r="Q1028" s="399">
        <f>SUM(Q1029+Q1030+Q1031)</f>
        <v>10326</v>
      </c>
      <c r="R1028" s="433">
        <f>SUM(Q1028/L1028)*100</f>
        <v>65.37925794605547</v>
      </c>
      <c r="S1028" s="399">
        <f>SUM(S1029+S1030+S1031)</f>
        <v>11709</v>
      </c>
      <c r="T1028" s="433">
        <f>SUM(S1028/L1028)*100</f>
        <v>74.135747752311</v>
      </c>
      <c r="U1028" s="399">
        <f>SUM(U1029+U1030+U1031)</f>
        <v>12128</v>
      </c>
      <c r="V1028" s="389"/>
    </row>
    <row r="1029" spans="1:21" ht="12.75">
      <c r="A1029" s="23">
        <v>635006</v>
      </c>
      <c r="B1029" s="292" t="s">
        <v>510</v>
      </c>
      <c r="C1029" s="55"/>
      <c r="D1029" s="12"/>
      <c r="E1029" s="12"/>
      <c r="F1029" s="12"/>
      <c r="G1029" s="304">
        <v>13041</v>
      </c>
      <c r="H1029" s="91">
        <v>12452</v>
      </c>
      <c r="I1029" s="26">
        <v>14648</v>
      </c>
      <c r="J1029" s="29">
        <v>10753</v>
      </c>
      <c r="K1029" s="26">
        <v>19648</v>
      </c>
      <c r="L1029" s="26">
        <v>15544</v>
      </c>
      <c r="M1029" s="31">
        <v>7298</v>
      </c>
      <c r="N1029" s="430">
        <f>SUM(M1029/L1029)*100</f>
        <v>46.950591868244985</v>
      </c>
      <c r="O1029" s="31">
        <v>8405</v>
      </c>
      <c r="P1029" s="430">
        <f>SUM(O1029/L1029)*100</f>
        <v>54.07231085949562</v>
      </c>
      <c r="Q1029" s="31">
        <v>10320</v>
      </c>
      <c r="R1029" s="430">
        <f>SUM(Q1029/L1029)*100</f>
        <v>66.39217704580545</v>
      </c>
      <c r="S1029" s="31">
        <v>11703</v>
      </c>
      <c r="T1029" s="430">
        <f>SUM(S1029/L1029)*100</f>
        <v>75.28950077200206</v>
      </c>
      <c r="U1029" s="31">
        <v>12128</v>
      </c>
    </row>
    <row r="1030" spans="1:21" ht="12.75">
      <c r="A1030" s="23"/>
      <c r="B1030" s="292" t="s">
        <v>752</v>
      </c>
      <c r="C1030" s="55"/>
      <c r="D1030" s="12"/>
      <c r="E1030" s="12"/>
      <c r="F1030" s="12"/>
      <c r="G1030" s="308"/>
      <c r="H1030" s="91"/>
      <c r="I1030" s="26"/>
      <c r="J1030" s="29"/>
      <c r="K1030" s="26"/>
      <c r="L1030" s="26">
        <v>250</v>
      </c>
      <c r="N1030" s="425"/>
      <c r="P1030" s="547"/>
      <c r="R1030" s="547"/>
      <c r="T1030" s="547"/>
      <c r="U1030" s="31">
        <v>0</v>
      </c>
    </row>
    <row r="1031" spans="1:20" ht="12.75">
      <c r="A1031" s="23"/>
      <c r="B1031" s="292" t="s">
        <v>700</v>
      </c>
      <c r="C1031" s="55"/>
      <c r="D1031" s="12"/>
      <c r="E1031" s="12"/>
      <c r="F1031" s="12"/>
      <c r="G1031" s="308"/>
      <c r="H1031" s="91"/>
      <c r="I1031" s="26"/>
      <c r="J1031" s="29"/>
      <c r="K1031" s="26"/>
      <c r="L1031" s="26">
        <v>0</v>
      </c>
      <c r="N1031" s="425"/>
      <c r="P1031" s="547"/>
      <c r="Q1031" s="31">
        <v>6</v>
      </c>
      <c r="R1031" s="547"/>
      <c r="S1031" s="31">
        <v>6</v>
      </c>
      <c r="T1031" s="547"/>
    </row>
    <row r="1032" spans="1:20" ht="12.75">
      <c r="A1032" s="23"/>
      <c r="B1032" s="292"/>
      <c r="C1032" s="55"/>
      <c r="D1032" s="12"/>
      <c r="E1032" s="12"/>
      <c r="F1032" s="12"/>
      <c r="G1032" s="308"/>
      <c r="H1032" s="91"/>
      <c r="I1032" s="26"/>
      <c r="J1032" s="29"/>
      <c r="K1032" s="26"/>
      <c r="L1032" s="26"/>
      <c r="N1032" s="425"/>
      <c r="P1032" s="547"/>
      <c r="R1032" s="547"/>
      <c r="T1032" s="547"/>
    </row>
    <row r="1033" spans="1:21" ht="12.75">
      <c r="A1033" s="199">
        <v>636</v>
      </c>
      <c r="B1033" s="291" t="s">
        <v>284</v>
      </c>
      <c r="C1033" s="267"/>
      <c r="D1033" s="49"/>
      <c r="E1033" s="49"/>
      <c r="F1033" s="49"/>
      <c r="G1033" s="305">
        <f aca="true" t="shared" si="192" ref="G1033:L1033">SUM(G1034)</f>
        <v>0</v>
      </c>
      <c r="H1033" s="305">
        <f t="shared" si="192"/>
        <v>0</v>
      </c>
      <c r="I1033" s="305">
        <f t="shared" si="192"/>
        <v>0</v>
      </c>
      <c r="J1033" s="305">
        <f t="shared" si="192"/>
        <v>0</v>
      </c>
      <c r="K1033" s="305">
        <f t="shared" si="192"/>
        <v>300</v>
      </c>
      <c r="L1033" s="298">
        <f t="shared" si="192"/>
        <v>300</v>
      </c>
      <c r="M1033" s="389"/>
      <c r="N1033" s="430"/>
      <c r="P1033" s="547"/>
      <c r="Q1033" s="299">
        <f>SUM(Q1034)</f>
        <v>99</v>
      </c>
      <c r="R1033" s="433">
        <f>SUM(Q1033/L1033)*100</f>
        <v>33</v>
      </c>
      <c r="S1033" s="299">
        <f>SUM(S1034)</f>
        <v>99</v>
      </c>
      <c r="T1033" s="433">
        <f>SUM(S1033/L1033)*100</f>
        <v>33</v>
      </c>
      <c r="U1033" s="299">
        <f>SUM(U1034)</f>
        <v>99</v>
      </c>
    </row>
    <row r="1034" spans="1:21" ht="12.75">
      <c r="A1034" s="23">
        <v>636001</v>
      </c>
      <c r="B1034" s="292" t="s">
        <v>282</v>
      </c>
      <c r="C1034" s="55"/>
      <c r="D1034" s="12"/>
      <c r="E1034" s="12"/>
      <c r="F1034" s="12"/>
      <c r="G1034" s="308">
        <v>0</v>
      </c>
      <c r="H1034" s="91">
        <v>0</v>
      </c>
      <c r="I1034" s="26">
        <v>0</v>
      </c>
      <c r="J1034" s="29">
        <v>0</v>
      </c>
      <c r="K1034" s="26">
        <v>300</v>
      </c>
      <c r="L1034" s="26">
        <v>300</v>
      </c>
      <c r="N1034" s="425"/>
      <c r="P1034" s="547"/>
      <c r="Q1034" s="31">
        <v>99</v>
      </c>
      <c r="R1034" s="430">
        <f>SUM(Q1034/L1034)*100</f>
        <v>33</v>
      </c>
      <c r="S1034" s="31">
        <v>99</v>
      </c>
      <c r="T1034" s="430">
        <f>SUM(S1034/L1034)*100</f>
        <v>33</v>
      </c>
      <c r="U1034" s="31">
        <v>99</v>
      </c>
    </row>
    <row r="1035" spans="1:20" ht="12.75">
      <c r="A1035" s="11"/>
      <c r="B1035" s="294"/>
      <c r="C1035" s="12"/>
      <c r="D1035" s="12"/>
      <c r="E1035" s="12"/>
      <c r="F1035" s="12"/>
      <c r="G1035" s="155"/>
      <c r="H1035" s="52"/>
      <c r="I1035" s="26"/>
      <c r="J1035" s="29"/>
      <c r="K1035" s="26"/>
      <c r="L1035" s="26"/>
      <c r="N1035" s="425"/>
      <c r="P1035" s="547"/>
      <c r="R1035" s="547"/>
      <c r="T1035" s="547"/>
    </row>
    <row r="1036" spans="1:21" ht="12.75">
      <c r="A1036" s="199">
        <v>637</v>
      </c>
      <c r="B1036" s="291" t="s">
        <v>288</v>
      </c>
      <c r="C1036" s="49"/>
      <c r="D1036" s="12"/>
      <c r="E1036" s="12"/>
      <c r="F1036" s="12"/>
      <c r="G1036" s="305">
        <f>SUM(G1037)</f>
        <v>103</v>
      </c>
      <c r="H1036" s="194">
        <f aca="true" t="shared" si="193" ref="H1036:U1036">H1037</f>
        <v>200</v>
      </c>
      <c r="I1036" s="193">
        <f t="shared" si="193"/>
        <v>300</v>
      </c>
      <c r="J1036" s="210">
        <f t="shared" si="193"/>
        <v>98</v>
      </c>
      <c r="K1036" s="193">
        <f t="shared" si="193"/>
        <v>300</v>
      </c>
      <c r="L1036" s="50">
        <f t="shared" si="193"/>
        <v>300</v>
      </c>
      <c r="M1036" s="197">
        <f t="shared" si="193"/>
        <v>27</v>
      </c>
      <c r="N1036" s="433">
        <f>SUM(M1036/L1036)*100</f>
        <v>9</v>
      </c>
      <c r="O1036" s="197">
        <f t="shared" si="193"/>
        <v>33</v>
      </c>
      <c r="P1036" s="433">
        <f>SUM(O1036/L1036)*100</f>
        <v>11</v>
      </c>
      <c r="Q1036" s="197">
        <f t="shared" si="193"/>
        <v>50</v>
      </c>
      <c r="R1036" s="433">
        <f>SUM(Q1036/L1036)*100</f>
        <v>16.666666666666664</v>
      </c>
      <c r="S1036" s="197">
        <f t="shared" si="193"/>
        <v>169</v>
      </c>
      <c r="T1036" s="433">
        <f>SUM(S1036/L1036)*100</f>
        <v>56.333333333333336</v>
      </c>
      <c r="U1036" s="197">
        <f t="shared" si="193"/>
        <v>190</v>
      </c>
    </row>
    <row r="1037" spans="1:22" s="131" customFormat="1" ht="12.75">
      <c r="A1037" s="23">
        <v>637005</v>
      </c>
      <c r="B1037" s="292" t="s">
        <v>511</v>
      </c>
      <c r="C1037" s="24"/>
      <c r="D1037" s="24"/>
      <c r="E1037" s="24"/>
      <c r="F1037" s="24"/>
      <c r="G1037" s="304">
        <f aca="true" t="shared" si="194" ref="G1037:U1037">SUM(G1038:G1039)</f>
        <v>103</v>
      </c>
      <c r="H1037" s="91">
        <f t="shared" si="194"/>
        <v>200</v>
      </c>
      <c r="I1037" s="92">
        <f t="shared" si="194"/>
        <v>300</v>
      </c>
      <c r="J1037" s="320">
        <f t="shared" si="194"/>
        <v>98</v>
      </c>
      <c r="K1037" s="92">
        <f t="shared" si="194"/>
        <v>300</v>
      </c>
      <c r="L1037" s="92">
        <f t="shared" si="194"/>
        <v>300</v>
      </c>
      <c r="M1037" s="206">
        <f t="shared" si="194"/>
        <v>27</v>
      </c>
      <c r="N1037" s="430">
        <f>SUM(M1037/L1037)*100</f>
        <v>9</v>
      </c>
      <c r="O1037" s="206">
        <f t="shared" si="194"/>
        <v>33</v>
      </c>
      <c r="P1037" s="430">
        <f>SUM(O1037/L1037)*100</f>
        <v>11</v>
      </c>
      <c r="Q1037" s="206">
        <f t="shared" si="194"/>
        <v>50</v>
      </c>
      <c r="R1037" s="430">
        <f>SUM(Q1037/L1037)*100</f>
        <v>16.666666666666664</v>
      </c>
      <c r="S1037" s="206">
        <f t="shared" si="194"/>
        <v>169</v>
      </c>
      <c r="T1037" s="430">
        <f>SUM(S1037/L1037)*100</f>
        <v>56.333333333333336</v>
      </c>
      <c r="U1037" s="206">
        <f t="shared" si="194"/>
        <v>190</v>
      </c>
      <c r="V1037" s="389"/>
    </row>
    <row r="1038" spans="1:22" s="627" customFormat="1" ht="12">
      <c r="A1038" s="205"/>
      <c r="B1038" s="647" t="s">
        <v>512</v>
      </c>
      <c r="C1038" s="203"/>
      <c r="D1038" s="203"/>
      <c r="E1038" s="203"/>
      <c r="F1038" s="203"/>
      <c r="G1038" s="645">
        <v>65</v>
      </c>
      <c r="H1038" s="201">
        <v>100</v>
      </c>
      <c r="I1038" s="94">
        <v>200</v>
      </c>
      <c r="J1038" s="630">
        <v>98</v>
      </c>
      <c r="K1038" s="94">
        <v>200</v>
      </c>
      <c r="L1038" s="94">
        <v>200</v>
      </c>
      <c r="M1038" s="562">
        <v>17</v>
      </c>
      <c r="N1038" s="563">
        <f>SUM(M1038/L1038)*100</f>
        <v>8.5</v>
      </c>
      <c r="O1038" s="562">
        <v>16</v>
      </c>
      <c r="P1038" s="563">
        <f>SUM(O1038/L1038)*100</f>
        <v>8</v>
      </c>
      <c r="Q1038" s="562">
        <v>21</v>
      </c>
      <c r="R1038" s="563">
        <f>SUM(Q1038/L1038)*100</f>
        <v>10.5</v>
      </c>
      <c r="S1038" s="562">
        <v>140</v>
      </c>
      <c r="T1038" s="563">
        <f>SUM(S1038/L1038)*100</f>
        <v>70</v>
      </c>
      <c r="U1038" s="562">
        <v>161</v>
      </c>
      <c r="V1038" s="562"/>
    </row>
    <row r="1039" spans="1:22" s="627" customFormat="1" ht="12">
      <c r="A1039" s="205"/>
      <c r="B1039" s="647" t="s">
        <v>513</v>
      </c>
      <c r="C1039" s="203"/>
      <c r="D1039" s="203"/>
      <c r="E1039" s="203"/>
      <c r="F1039" s="203"/>
      <c r="G1039" s="645">
        <v>38</v>
      </c>
      <c r="H1039" s="201">
        <v>100</v>
      </c>
      <c r="I1039" s="94">
        <v>100</v>
      </c>
      <c r="J1039" s="630">
        <v>0</v>
      </c>
      <c r="K1039" s="94">
        <v>100</v>
      </c>
      <c r="L1039" s="94">
        <v>100</v>
      </c>
      <c r="M1039" s="562">
        <v>10</v>
      </c>
      <c r="N1039" s="563">
        <f>SUM(M1039/L1039)*100</f>
        <v>10</v>
      </c>
      <c r="O1039" s="562">
        <v>17</v>
      </c>
      <c r="P1039" s="563">
        <f>SUM(O1039/L1039)*100</f>
        <v>17</v>
      </c>
      <c r="Q1039" s="562">
        <v>29</v>
      </c>
      <c r="R1039" s="563">
        <f>SUM(Q1039/L1039)*100</f>
        <v>28.999999999999996</v>
      </c>
      <c r="S1039" s="562">
        <v>29</v>
      </c>
      <c r="T1039" s="563">
        <f>SUM(S1039/L1039)*100</f>
        <v>28.999999999999996</v>
      </c>
      <c r="U1039" s="562">
        <v>29</v>
      </c>
      <c r="V1039" s="562"/>
    </row>
    <row r="1040" spans="1:20" ht="12.75">
      <c r="A1040" s="93"/>
      <c r="B1040" s="316"/>
      <c r="C1040" s="55"/>
      <c r="D1040" s="12"/>
      <c r="E1040" s="12"/>
      <c r="F1040" s="12"/>
      <c r="G1040" s="308"/>
      <c r="H1040" s="52"/>
      <c r="I1040" s="26"/>
      <c r="J1040" s="29"/>
      <c r="K1040" s="26"/>
      <c r="L1040" s="26"/>
      <c r="N1040" s="425"/>
      <c r="P1040" s="547"/>
      <c r="R1040" s="547"/>
      <c r="T1040" s="547"/>
    </row>
    <row r="1041" spans="1:22" ht="12.75">
      <c r="A1041" s="199">
        <v>644</v>
      </c>
      <c r="B1041" s="291" t="s">
        <v>514</v>
      </c>
      <c r="C1041" s="24"/>
      <c r="D1041" s="24"/>
      <c r="E1041" s="24"/>
      <c r="F1041" s="24"/>
      <c r="G1041" s="318">
        <v>0</v>
      </c>
      <c r="H1041" s="51">
        <f>3600+8400</f>
        <v>12000</v>
      </c>
      <c r="I1041" s="50">
        <f>3600+8400+960</f>
        <v>12960</v>
      </c>
      <c r="J1041" s="319">
        <v>7560</v>
      </c>
      <c r="K1041" s="50">
        <v>19000</v>
      </c>
      <c r="L1041" s="50">
        <v>16589</v>
      </c>
      <c r="M1041" s="399">
        <v>4832</v>
      </c>
      <c r="N1041" s="433">
        <f>SUM(M1041/L1041)*100</f>
        <v>29.127735246247514</v>
      </c>
      <c r="O1041" s="399">
        <v>6040</v>
      </c>
      <c r="P1041" s="433">
        <f>SUM(O1041/L1041)*100</f>
        <v>36.40966905780939</v>
      </c>
      <c r="Q1041" s="399">
        <v>7248</v>
      </c>
      <c r="R1041" s="433">
        <f>SUM(Q1041/L1041)*100</f>
        <v>43.69160286937127</v>
      </c>
      <c r="S1041" s="399">
        <v>8456</v>
      </c>
      <c r="T1041" s="433">
        <f>SUM(S1041/L1041)*100</f>
        <v>50.97353668093315</v>
      </c>
      <c r="U1041" s="399">
        <v>10361</v>
      </c>
      <c r="V1041" s="399"/>
    </row>
    <row r="1042" spans="1:21" ht="12.75">
      <c r="A1042" s="23">
        <v>644001</v>
      </c>
      <c r="B1042" s="292" t="s">
        <v>515</v>
      </c>
      <c r="C1042" s="55"/>
      <c r="D1042" s="12"/>
      <c r="E1042" s="12"/>
      <c r="F1042" s="12"/>
      <c r="G1042" s="308"/>
      <c r="H1042" s="52"/>
      <c r="I1042" s="26"/>
      <c r="J1042" s="29"/>
      <c r="K1042" s="26"/>
      <c r="L1042" s="26">
        <v>16589</v>
      </c>
      <c r="N1042" s="425"/>
      <c r="P1042" s="547"/>
      <c r="Q1042" s="31">
        <v>7248</v>
      </c>
      <c r="R1042" s="430">
        <f>SUM(Q1042/L1042)*100</f>
        <v>43.69160286937127</v>
      </c>
      <c r="S1042" s="31">
        <v>8456</v>
      </c>
      <c r="T1042" s="430">
        <f>SUM(S1042/L1042)*100</f>
        <v>50.97353668093315</v>
      </c>
      <c r="U1042" s="31">
        <v>10361</v>
      </c>
    </row>
    <row r="1043" spans="1:20" ht="12.75">
      <c r="A1043" s="23"/>
      <c r="B1043" s="292"/>
      <c r="C1043" s="55"/>
      <c r="D1043" s="12"/>
      <c r="E1043" s="12"/>
      <c r="F1043" s="12"/>
      <c r="G1043" s="308"/>
      <c r="H1043" s="52"/>
      <c r="I1043" s="26"/>
      <c r="J1043" s="29"/>
      <c r="K1043" s="26"/>
      <c r="L1043" s="26"/>
      <c r="N1043" s="425"/>
      <c r="P1043" s="547"/>
      <c r="R1043" s="547"/>
      <c r="T1043" s="547"/>
    </row>
    <row r="1044" spans="1:22" s="275" customFormat="1" ht="15">
      <c r="A1044" s="98">
        <v>700</v>
      </c>
      <c r="B1044" s="498" t="s">
        <v>689</v>
      </c>
      <c r="C1044" s="63"/>
      <c r="D1044" s="63"/>
      <c r="E1044" s="63"/>
      <c r="F1044" s="63"/>
      <c r="G1044" s="496"/>
      <c r="H1044" s="65"/>
      <c r="I1044" s="64"/>
      <c r="J1044" s="497"/>
      <c r="K1044" s="64"/>
      <c r="L1044" s="64">
        <f>SUM(L1045+L1049+L1051+L1059)</f>
        <v>53371</v>
      </c>
      <c r="M1044" s="494" t="e">
        <f>SUM(M1045+M1049+M1051+M1059+#REF!)</f>
        <v>#REF!</v>
      </c>
      <c r="N1044" s="432" t="e">
        <f>SUM(M1044/L1044)*100</f>
        <v>#REF!</v>
      </c>
      <c r="O1044" s="413" t="e">
        <f>SUM(O1045+O1049+O1051+O1059+#REF!)</f>
        <v>#REF!</v>
      </c>
      <c r="P1044" s="432" t="e">
        <f>SUM(O1044/L1044)*100</f>
        <v>#REF!</v>
      </c>
      <c r="Q1044" s="413" t="e">
        <f>SUM(Q1045+Q1049+Q1051+Q1059+#REF!)</f>
        <v>#REF!</v>
      </c>
      <c r="R1044" s="432" t="e">
        <f>SUM(Q1044/L1044)*100</f>
        <v>#REF!</v>
      </c>
      <c r="S1044" s="494">
        <f>SUM(S1045+S1049+S1051+S1059)</f>
        <v>17513</v>
      </c>
      <c r="T1044" s="516">
        <f>SUM(S1044/L1044)*100</f>
        <v>32.81370032414607</v>
      </c>
      <c r="U1044" s="370"/>
      <c r="V1044" s="370"/>
    </row>
    <row r="1045" spans="1:21" ht="12.75">
      <c r="A1045" s="199">
        <v>711</v>
      </c>
      <c r="B1045" s="291" t="s">
        <v>383</v>
      </c>
      <c r="C1045" s="49"/>
      <c r="D1045" s="12"/>
      <c r="E1045" s="12"/>
      <c r="F1045" s="12"/>
      <c r="G1045" s="305">
        <f>SUM(G1046)</f>
        <v>706</v>
      </c>
      <c r="H1045" s="194">
        <f aca="true" t="shared" si="195" ref="H1045:U1045">H1046</f>
        <v>200</v>
      </c>
      <c r="I1045" s="193">
        <f t="shared" si="195"/>
        <v>200</v>
      </c>
      <c r="J1045" s="210">
        <f t="shared" si="195"/>
        <v>0</v>
      </c>
      <c r="K1045" s="193">
        <f t="shared" si="195"/>
        <v>500</v>
      </c>
      <c r="L1045" s="50">
        <f>L1046+L1047</f>
        <v>1400</v>
      </c>
      <c r="M1045" s="197">
        <f t="shared" si="195"/>
        <v>42</v>
      </c>
      <c r="N1045" s="433">
        <f>SUM(M1045/L1045)*100</f>
        <v>3</v>
      </c>
      <c r="O1045" s="197">
        <f t="shared" si="195"/>
        <v>4381</v>
      </c>
      <c r="P1045" s="433">
        <f>SUM(O1045/L1045)*100</f>
        <v>312.92857142857144</v>
      </c>
      <c r="Q1045" s="197">
        <f t="shared" si="195"/>
        <v>368</v>
      </c>
      <c r="R1045" s="433">
        <f>SUM(Q1045/L1045)*100</f>
        <v>26.285714285714285</v>
      </c>
      <c r="S1045" s="197">
        <f t="shared" si="195"/>
        <v>374</v>
      </c>
      <c r="T1045" s="433">
        <f>SUM(S1045/L1045)*100</f>
        <v>26.71428571428571</v>
      </c>
      <c r="U1045" s="197">
        <f t="shared" si="195"/>
        <v>374</v>
      </c>
    </row>
    <row r="1046" spans="1:22" s="131" customFormat="1" ht="12.75">
      <c r="A1046" s="23">
        <v>711001</v>
      </c>
      <c r="B1046" s="292" t="s">
        <v>516</v>
      </c>
      <c r="C1046" s="24"/>
      <c r="D1046" s="24"/>
      <c r="E1046" s="24"/>
      <c r="F1046" s="24"/>
      <c r="G1046" s="304">
        <v>706</v>
      </c>
      <c r="H1046" s="91">
        <v>200</v>
      </c>
      <c r="I1046" s="92">
        <v>200</v>
      </c>
      <c r="J1046" s="320">
        <v>0</v>
      </c>
      <c r="K1046" s="92">
        <f>200+300</f>
        <v>500</v>
      </c>
      <c r="L1046" s="92">
        <v>1300</v>
      </c>
      <c r="M1046" s="389">
        <v>42</v>
      </c>
      <c r="N1046" s="430">
        <f>SUM(M1046/L1046)*100</f>
        <v>3.230769230769231</v>
      </c>
      <c r="O1046" s="389">
        <v>4381</v>
      </c>
      <c r="P1046" s="430">
        <f>SUM(O1046/L1046)*100</f>
        <v>337</v>
      </c>
      <c r="Q1046" s="389">
        <v>368</v>
      </c>
      <c r="R1046" s="430">
        <f>SUM(Q1046/L1046)*100</f>
        <v>28.307692307692307</v>
      </c>
      <c r="S1046" s="389">
        <v>374</v>
      </c>
      <c r="T1046" s="430">
        <f>SUM(S1046/L1046)*100</f>
        <v>28.76923076923077</v>
      </c>
      <c r="U1046" s="389">
        <v>374</v>
      </c>
      <c r="V1046" s="389"/>
    </row>
    <row r="1047" spans="1:22" s="131" customFormat="1" ht="12.75">
      <c r="A1047" s="23"/>
      <c r="B1047" s="292" t="s">
        <v>753</v>
      </c>
      <c r="C1047" s="24"/>
      <c r="D1047" s="24"/>
      <c r="E1047" s="24"/>
      <c r="F1047" s="24"/>
      <c r="G1047" s="304"/>
      <c r="H1047" s="91"/>
      <c r="I1047" s="92"/>
      <c r="J1047" s="320"/>
      <c r="K1047" s="92"/>
      <c r="L1047" s="92">
        <v>100</v>
      </c>
      <c r="M1047" s="389"/>
      <c r="N1047" s="430"/>
      <c r="O1047" s="389"/>
      <c r="P1047" s="430"/>
      <c r="Q1047" s="389"/>
      <c r="R1047" s="549"/>
      <c r="S1047" s="389"/>
      <c r="T1047" s="549"/>
      <c r="U1047" s="389">
        <v>0</v>
      </c>
      <c r="V1047" s="389"/>
    </row>
    <row r="1048" spans="1:20" ht="12.75">
      <c r="A1048" s="93"/>
      <c r="B1048" s="293"/>
      <c r="C1048" s="55"/>
      <c r="D1048" s="12"/>
      <c r="E1048" s="12"/>
      <c r="F1048" s="12"/>
      <c r="G1048" s="308"/>
      <c r="H1048" s="52"/>
      <c r="I1048" s="26"/>
      <c r="J1048" s="29"/>
      <c r="K1048" s="26"/>
      <c r="L1048" s="26"/>
      <c r="N1048" s="425"/>
      <c r="P1048" s="547"/>
      <c r="R1048" s="547"/>
      <c r="T1048" s="547"/>
    </row>
    <row r="1049" spans="1:20" ht="12.75">
      <c r="A1049" s="199">
        <v>713</v>
      </c>
      <c r="B1049" s="291" t="s">
        <v>385</v>
      </c>
      <c r="C1049" s="55"/>
      <c r="D1049" s="12"/>
      <c r="E1049" s="12"/>
      <c r="F1049" s="12"/>
      <c r="G1049" s="298">
        <v>0</v>
      </c>
      <c r="H1049" s="51">
        <v>0</v>
      </c>
      <c r="I1049" s="50" t="e">
        <f>SUM(#REF!)</f>
        <v>#REF!</v>
      </c>
      <c r="J1049" s="319" t="e">
        <f>SUM(#REF!)</f>
        <v>#REF!</v>
      </c>
      <c r="K1049" s="50" t="e">
        <f>SUM(#REF!)</f>
        <v>#REF!</v>
      </c>
      <c r="L1049" s="50">
        <v>0</v>
      </c>
      <c r="N1049" s="425"/>
      <c r="P1049" s="547"/>
      <c r="R1049" s="547"/>
      <c r="S1049" s="399">
        <v>0</v>
      </c>
      <c r="T1049" s="547"/>
    </row>
    <row r="1050" spans="1:20" ht="12.75">
      <c r="A1050" s="93"/>
      <c r="B1050" s="293"/>
      <c r="C1050" s="55"/>
      <c r="D1050" s="12"/>
      <c r="E1050" s="12"/>
      <c r="F1050" s="12"/>
      <c r="G1050" s="155"/>
      <c r="H1050" s="52"/>
      <c r="I1050" s="26"/>
      <c r="J1050" s="29"/>
      <c r="K1050" s="26"/>
      <c r="L1050" s="26"/>
      <c r="N1050" s="425"/>
      <c r="P1050" s="547"/>
      <c r="R1050" s="547"/>
      <c r="T1050" s="547"/>
    </row>
    <row r="1051" spans="1:22" s="131" customFormat="1" ht="12.75">
      <c r="A1051" s="199">
        <v>716</v>
      </c>
      <c r="B1051" s="291" t="s">
        <v>496</v>
      </c>
      <c r="C1051" s="49"/>
      <c r="D1051" s="49"/>
      <c r="E1051" s="49"/>
      <c r="F1051" s="49"/>
      <c r="G1051" s="298">
        <f>SUM(G1052:G1055)</f>
        <v>299</v>
      </c>
      <c r="H1051" s="51">
        <v>0</v>
      </c>
      <c r="I1051" s="50">
        <f>SUM(I1052:I1055)</f>
        <v>536</v>
      </c>
      <c r="J1051" s="319">
        <f>SUM(J1052:J1055)</f>
        <v>186</v>
      </c>
      <c r="K1051" s="50">
        <v>1943</v>
      </c>
      <c r="L1051" s="50">
        <f>SUM(L1052:L1057)</f>
        <v>260</v>
      </c>
      <c r="M1051" s="197">
        <f>SUM(M1052:M1055)</f>
        <v>80</v>
      </c>
      <c r="N1051" s="433">
        <f>SUM(M1051/L1051)*100</f>
        <v>30.76923076923077</v>
      </c>
      <c r="O1051" s="197">
        <f>SUM(O1052:O1055)</f>
        <v>80</v>
      </c>
      <c r="P1051" s="433">
        <f>SUM(O1051/L1051)*100</f>
        <v>30.76923076923077</v>
      </c>
      <c r="Q1051" s="389"/>
      <c r="R1051" s="549"/>
      <c r="S1051" s="399">
        <v>0</v>
      </c>
      <c r="T1051" s="549"/>
      <c r="U1051" s="50">
        <f>SUM(U1052:U1057)</f>
        <v>12</v>
      </c>
      <c r="V1051" s="389"/>
    </row>
    <row r="1052" spans="1:20" ht="12.75">
      <c r="A1052" s="23"/>
      <c r="B1052" s="292" t="s">
        <v>517</v>
      </c>
      <c r="C1052" s="24"/>
      <c r="D1052" s="24"/>
      <c r="E1052" s="24"/>
      <c r="F1052" s="24"/>
      <c r="G1052" s="304">
        <v>149</v>
      </c>
      <c r="H1052" s="91">
        <v>0</v>
      </c>
      <c r="I1052" s="92">
        <v>0</v>
      </c>
      <c r="J1052" s="320">
        <v>0</v>
      </c>
      <c r="K1052" s="92"/>
      <c r="L1052" s="92">
        <v>45</v>
      </c>
      <c r="M1052" s="389"/>
      <c r="N1052" s="430"/>
      <c r="O1052" s="389"/>
      <c r="P1052" s="549"/>
      <c r="Q1052" s="389"/>
      <c r="R1052" s="549"/>
      <c r="T1052" s="547"/>
    </row>
    <row r="1053" spans="1:20" ht="12.75">
      <c r="A1053" s="317"/>
      <c r="B1053" s="292" t="s">
        <v>518</v>
      </c>
      <c r="C1053" s="267"/>
      <c r="D1053" s="49"/>
      <c r="E1053" s="49"/>
      <c r="F1053" s="49"/>
      <c r="G1053" s="321">
        <v>150</v>
      </c>
      <c r="H1053" s="51"/>
      <c r="I1053" s="26">
        <v>150</v>
      </c>
      <c r="J1053" s="29">
        <v>0</v>
      </c>
      <c r="K1053" s="26"/>
      <c r="L1053" s="26">
        <v>65</v>
      </c>
      <c r="M1053" s="31">
        <v>80</v>
      </c>
      <c r="N1053" s="430">
        <f>SUM(M1053/L1053)*100</f>
        <v>123.07692307692308</v>
      </c>
      <c r="O1053" s="31">
        <v>80</v>
      </c>
      <c r="P1053" s="430">
        <f>SUM(O1053/L1053)*100</f>
        <v>123.07692307692308</v>
      </c>
      <c r="R1053" s="547"/>
      <c r="T1053" s="547"/>
    </row>
    <row r="1054" spans="1:21" ht="12.75">
      <c r="A1054" s="317"/>
      <c r="B1054" s="292" t="s">
        <v>519</v>
      </c>
      <c r="C1054" s="267"/>
      <c r="D1054" s="49"/>
      <c r="E1054" s="49"/>
      <c r="F1054" s="49"/>
      <c r="G1054" s="321"/>
      <c r="H1054" s="51"/>
      <c r="I1054" s="26">
        <v>200</v>
      </c>
      <c r="J1054" s="29">
        <v>0</v>
      </c>
      <c r="K1054" s="26"/>
      <c r="L1054" s="26">
        <v>40</v>
      </c>
      <c r="N1054" s="425"/>
      <c r="P1054" s="547"/>
      <c r="R1054" s="547"/>
      <c r="T1054" s="547"/>
      <c r="U1054" s="31">
        <v>6</v>
      </c>
    </row>
    <row r="1055" spans="1:20" ht="12.75">
      <c r="A1055" s="317"/>
      <c r="B1055" s="292" t="s">
        <v>520</v>
      </c>
      <c r="C1055" s="267"/>
      <c r="D1055" s="49"/>
      <c r="E1055" s="49"/>
      <c r="F1055" s="49"/>
      <c r="G1055" s="321">
        <v>0</v>
      </c>
      <c r="H1055" s="51"/>
      <c r="I1055" s="26">
        <f>80+106</f>
        <v>186</v>
      </c>
      <c r="J1055" s="29">
        <v>186</v>
      </c>
      <c r="K1055" s="26"/>
      <c r="L1055" s="26">
        <v>50</v>
      </c>
      <c r="N1055" s="425"/>
      <c r="P1055" s="547"/>
      <c r="R1055" s="547"/>
      <c r="T1055" s="547"/>
    </row>
    <row r="1056" spans="1:21" ht="12.75">
      <c r="A1056" s="317"/>
      <c r="B1056" s="292" t="s">
        <v>754</v>
      </c>
      <c r="C1056" s="267"/>
      <c r="D1056" s="49"/>
      <c r="E1056" s="49"/>
      <c r="F1056" s="49"/>
      <c r="G1056" s="298"/>
      <c r="H1056" s="51"/>
      <c r="I1056" s="26"/>
      <c r="J1056" s="29"/>
      <c r="K1056" s="26"/>
      <c r="L1056" s="26">
        <v>35</v>
      </c>
      <c r="N1056" s="425"/>
      <c r="P1056" s="547"/>
      <c r="R1056" s="547"/>
      <c r="T1056" s="547"/>
      <c r="U1056" s="31">
        <v>6</v>
      </c>
    </row>
    <row r="1057" spans="1:20" ht="12.75">
      <c r="A1057" s="317"/>
      <c r="B1057" s="292" t="s">
        <v>755</v>
      </c>
      <c r="C1057" s="267"/>
      <c r="D1057" s="49"/>
      <c r="E1057" s="49"/>
      <c r="F1057" s="49"/>
      <c r="G1057" s="298"/>
      <c r="H1057" s="51"/>
      <c r="I1057" s="26"/>
      <c r="J1057" s="29"/>
      <c r="K1057" s="26"/>
      <c r="L1057" s="26">
        <v>25</v>
      </c>
      <c r="N1057" s="425"/>
      <c r="P1057" s="547"/>
      <c r="R1057" s="547"/>
      <c r="T1057" s="547"/>
    </row>
    <row r="1058" spans="1:20" ht="12.75">
      <c r="A1058" s="11"/>
      <c r="B1058" s="294"/>
      <c r="C1058" s="12"/>
      <c r="D1058" s="12"/>
      <c r="E1058" s="12"/>
      <c r="F1058" s="12"/>
      <c r="G1058" s="155"/>
      <c r="H1058" s="52"/>
      <c r="I1058" s="26"/>
      <c r="J1058" s="29"/>
      <c r="K1058" s="26"/>
      <c r="L1058" s="26"/>
      <c r="N1058" s="425"/>
      <c r="P1058" s="547"/>
      <c r="R1058" s="547"/>
      <c r="T1058" s="547"/>
    </row>
    <row r="1059" spans="1:21" ht="12.75">
      <c r="A1059" s="199">
        <v>717</v>
      </c>
      <c r="B1059" s="291" t="s">
        <v>457</v>
      </c>
      <c r="C1059" s="49"/>
      <c r="D1059" s="12"/>
      <c r="E1059" s="12"/>
      <c r="F1059" s="12"/>
      <c r="G1059" s="305">
        <v>6952</v>
      </c>
      <c r="H1059" s="194">
        <f>SUM(H1060:H1061)</f>
        <v>8715</v>
      </c>
      <c r="I1059" s="193">
        <f>SUM(I1060:I1061)</f>
        <v>10609</v>
      </c>
      <c r="J1059" s="210">
        <f>SUM(J1060:J1061)</f>
        <v>0</v>
      </c>
      <c r="K1059" s="50">
        <v>218030</v>
      </c>
      <c r="L1059" s="50">
        <f>SUM(L1060:L1069)</f>
        <v>51711</v>
      </c>
      <c r="M1059" s="197">
        <f>SUM(M1060:M1070)</f>
        <v>4768</v>
      </c>
      <c r="N1059" s="433">
        <f>SUM(M1059/L1059)*100</f>
        <v>9.220475334068187</v>
      </c>
      <c r="O1059" s="197">
        <f>SUM(O1060:O1070)</f>
        <v>4768</v>
      </c>
      <c r="P1059" s="433">
        <f>SUM(O1059/L1059)*100</f>
        <v>9.220475334068187</v>
      </c>
      <c r="Q1059" s="197">
        <f>SUM(Q1060:Q1070)</f>
        <v>17057</v>
      </c>
      <c r="R1059" s="433">
        <f>SUM(Q1059/L1059)*100</f>
        <v>32.98524491887606</v>
      </c>
      <c r="S1059" s="197">
        <f>SUM(S1060:S1070)</f>
        <v>17139</v>
      </c>
      <c r="T1059" s="433">
        <f>SUM(S1059/L1059)*100</f>
        <v>33.143818529906596</v>
      </c>
      <c r="U1059" s="197">
        <f>SUM(U1060:U1070)</f>
        <v>17890</v>
      </c>
    </row>
    <row r="1060" spans="1:20" ht="12.75">
      <c r="A1060" s="93">
        <v>717001</v>
      </c>
      <c r="B1060" s="292" t="s">
        <v>521</v>
      </c>
      <c r="C1060" s="24"/>
      <c r="D1060" s="24"/>
      <c r="E1060" s="24"/>
      <c r="F1060" s="24"/>
      <c r="G1060" s="155"/>
      <c r="H1060" s="52">
        <v>8715</v>
      </c>
      <c r="I1060" s="26">
        <v>8715</v>
      </c>
      <c r="J1060" s="29">
        <v>0</v>
      </c>
      <c r="K1060" s="26"/>
      <c r="L1060" s="26">
        <v>9585</v>
      </c>
      <c r="N1060" s="425"/>
      <c r="P1060" s="547"/>
      <c r="R1060" s="547"/>
      <c r="T1060" s="547"/>
    </row>
    <row r="1061" spans="1:20" ht="12.75">
      <c r="A1061" s="23"/>
      <c r="B1061" s="292" t="s">
        <v>522</v>
      </c>
      <c r="C1061" s="24"/>
      <c r="D1061" s="24"/>
      <c r="E1061" s="24"/>
      <c r="F1061" s="24"/>
      <c r="G1061" s="155"/>
      <c r="H1061" s="52">
        <v>0</v>
      </c>
      <c r="I1061" s="26">
        <f>2000-106</f>
        <v>1894</v>
      </c>
      <c r="J1061" s="29">
        <v>0</v>
      </c>
      <c r="K1061" s="26"/>
      <c r="L1061" s="26">
        <v>6750</v>
      </c>
      <c r="N1061" s="425"/>
      <c r="P1061" s="547"/>
      <c r="R1061" s="547"/>
      <c r="T1061" s="547"/>
    </row>
    <row r="1062" spans="1:21" ht="12.75">
      <c r="A1062" s="23"/>
      <c r="B1062" s="292" t="s">
        <v>523</v>
      </c>
      <c r="C1062" s="55"/>
      <c r="D1062" s="12"/>
      <c r="E1062" s="12"/>
      <c r="F1062" s="12"/>
      <c r="G1062" s="304">
        <v>1284</v>
      </c>
      <c r="H1062" s="91">
        <v>0</v>
      </c>
      <c r="I1062" s="26">
        <v>0</v>
      </c>
      <c r="J1062" s="29">
        <v>0</v>
      </c>
      <c r="K1062" s="26"/>
      <c r="L1062" s="26">
        <v>4633</v>
      </c>
      <c r="N1062" s="425"/>
      <c r="P1062" s="547"/>
      <c r="Q1062" s="31">
        <v>831</v>
      </c>
      <c r="R1062" s="430">
        <f>SUM(Q1062/L1062)*100</f>
        <v>17.93654219728038</v>
      </c>
      <c r="S1062" s="31">
        <v>913</v>
      </c>
      <c r="T1062" s="430">
        <f>SUM(S1062/L1062)*100</f>
        <v>19.706453701705158</v>
      </c>
      <c r="U1062" s="31">
        <v>913</v>
      </c>
    </row>
    <row r="1063" spans="1:21" ht="12.75">
      <c r="A1063" s="23"/>
      <c r="B1063" s="292" t="s">
        <v>524</v>
      </c>
      <c r="C1063" s="55"/>
      <c r="D1063" s="12"/>
      <c r="E1063" s="12"/>
      <c r="F1063" s="12"/>
      <c r="G1063" s="308"/>
      <c r="H1063" s="91"/>
      <c r="I1063" s="26"/>
      <c r="J1063" s="29"/>
      <c r="K1063" s="26"/>
      <c r="L1063" s="26">
        <v>6010</v>
      </c>
      <c r="M1063" s="31">
        <v>4768</v>
      </c>
      <c r="N1063" s="430">
        <f>SUM(M1063/L1063)*100</f>
        <v>79.33444259567388</v>
      </c>
      <c r="O1063" s="31">
        <v>4768</v>
      </c>
      <c r="P1063" s="430">
        <f>SUM(O1063/L1063)*100</f>
        <v>79.33444259567388</v>
      </c>
      <c r="Q1063" s="31">
        <v>5226</v>
      </c>
      <c r="R1063" s="430">
        <f>SUM(Q1063/L1063)*100</f>
        <v>86.95507487520798</v>
      </c>
      <c r="S1063" s="31">
        <v>5226</v>
      </c>
      <c r="T1063" s="430">
        <f>SUM(S1063/L1063)*100</f>
        <v>86.95507487520798</v>
      </c>
      <c r="U1063" s="31">
        <v>5226</v>
      </c>
    </row>
    <row r="1064" spans="1:20" ht="12.75">
      <c r="A1064" s="23"/>
      <c r="B1064" s="292" t="s">
        <v>525</v>
      </c>
      <c r="C1064" s="55"/>
      <c r="D1064" s="12"/>
      <c r="E1064" s="12"/>
      <c r="F1064" s="12"/>
      <c r="G1064" s="308"/>
      <c r="H1064" s="91"/>
      <c r="I1064" s="26"/>
      <c r="J1064" s="29"/>
      <c r="K1064" s="26"/>
      <c r="L1064" s="26">
        <v>4500</v>
      </c>
      <c r="N1064" s="425"/>
      <c r="P1064" s="547"/>
      <c r="R1064" s="547"/>
      <c r="T1064" s="547"/>
    </row>
    <row r="1065" spans="1:21" ht="12.75">
      <c r="A1065" s="23"/>
      <c r="B1065" s="292" t="s">
        <v>756</v>
      </c>
      <c r="C1065" s="55"/>
      <c r="D1065" s="12"/>
      <c r="E1065" s="12"/>
      <c r="F1065" s="12"/>
      <c r="G1065" s="308"/>
      <c r="H1065" s="91"/>
      <c r="I1065" s="26"/>
      <c r="J1065" s="29"/>
      <c r="K1065" s="26"/>
      <c r="L1065" s="26">
        <v>7953</v>
      </c>
      <c r="N1065" s="425"/>
      <c r="P1065" s="547"/>
      <c r="R1065" s="547"/>
      <c r="T1065" s="547"/>
      <c r="U1065" s="31">
        <v>94</v>
      </c>
    </row>
    <row r="1066" spans="1:21" ht="12.75">
      <c r="A1066" s="23"/>
      <c r="B1066" s="292" t="s">
        <v>757</v>
      </c>
      <c r="C1066" s="55"/>
      <c r="D1066" s="12"/>
      <c r="E1066" s="12"/>
      <c r="F1066" s="12"/>
      <c r="G1066" s="308"/>
      <c r="H1066" s="91"/>
      <c r="I1066" s="26"/>
      <c r="J1066" s="29"/>
      <c r="K1066" s="26"/>
      <c r="L1066" s="26">
        <v>950</v>
      </c>
      <c r="N1066" s="425"/>
      <c r="P1066" s="547"/>
      <c r="R1066" s="547"/>
      <c r="T1066" s="547"/>
      <c r="U1066" s="31">
        <v>657</v>
      </c>
    </row>
    <row r="1067" spans="1:20" ht="12.75">
      <c r="A1067" s="23"/>
      <c r="B1067" s="292" t="s">
        <v>758</v>
      </c>
      <c r="C1067" s="55"/>
      <c r="D1067" s="12"/>
      <c r="E1067" s="12"/>
      <c r="F1067" s="12"/>
      <c r="G1067" s="308"/>
      <c r="H1067" s="91"/>
      <c r="I1067" s="26"/>
      <c r="J1067" s="29"/>
      <c r="K1067" s="26"/>
      <c r="L1067" s="26">
        <v>245</v>
      </c>
      <c r="N1067" s="425"/>
      <c r="P1067" s="547"/>
      <c r="R1067" s="547"/>
      <c r="T1067" s="547"/>
    </row>
    <row r="1068" spans="1:20" ht="12.75">
      <c r="A1068" s="11"/>
      <c r="B1068" s="292" t="s">
        <v>920</v>
      </c>
      <c r="C1068" s="12"/>
      <c r="D1068" s="12"/>
      <c r="E1068" s="12"/>
      <c r="F1068" s="12"/>
      <c r="G1068" s="14"/>
      <c r="H1068" s="12"/>
      <c r="I1068" s="14"/>
      <c r="J1068" s="13"/>
      <c r="K1068" s="14"/>
      <c r="L1068" s="26">
        <v>85</v>
      </c>
      <c r="N1068" s="425"/>
      <c r="P1068" s="547"/>
      <c r="R1068" s="547"/>
      <c r="T1068" s="547"/>
    </row>
    <row r="1069" spans="1:21" ht="12.75">
      <c r="A1069" s="11">
        <v>717002</v>
      </c>
      <c r="B1069" s="292" t="s">
        <v>759</v>
      </c>
      <c r="C1069" s="12"/>
      <c r="D1069" s="12"/>
      <c r="E1069" s="12"/>
      <c r="F1069" s="12"/>
      <c r="G1069" s="14"/>
      <c r="H1069" s="12"/>
      <c r="I1069" s="14"/>
      <c r="J1069" s="13"/>
      <c r="K1069" s="14"/>
      <c r="L1069" s="26">
        <v>11000</v>
      </c>
      <c r="N1069" s="425"/>
      <c r="P1069" s="547"/>
      <c r="Q1069" s="31">
        <v>11000</v>
      </c>
      <c r="R1069" s="430">
        <f>SUM(Q1069/L1069)*100</f>
        <v>100</v>
      </c>
      <c r="S1069" s="31">
        <v>11000</v>
      </c>
      <c r="T1069" s="430">
        <f>SUM(S1069/L1069)*100</f>
        <v>100</v>
      </c>
      <c r="U1069" s="31">
        <v>11000</v>
      </c>
    </row>
    <row r="1070" spans="1:20" ht="13.5" thickBot="1">
      <c r="A1070" s="11"/>
      <c r="B1070" s="292"/>
      <c r="C1070" s="12"/>
      <c r="D1070" s="12"/>
      <c r="E1070" s="12"/>
      <c r="F1070" s="12"/>
      <c r="G1070" s="14"/>
      <c r="H1070" s="12"/>
      <c r="I1070" s="14"/>
      <c r="J1070" s="13"/>
      <c r="K1070" s="14"/>
      <c r="L1070" s="26"/>
      <c r="N1070" s="425"/>
      <c r="P1070" s="547"/>
      <c r="R1070" s="547"/>
      <c r="T1070" s="547"/>
    </row>
    <row r="1071" spans="1:20" ht="12.75">
      <c r="A1071" s="4"/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19"/>
      <c r="M1071" s="419"/>
      <c r="N1071" s="490"/>
      <c r="O1071" s="419"/>
      <c r="P1071" s="4"/>
      <c r="Q1071" s="419"/>
      <c r="R1071" s="4"/>
      <c r="S1071" s="419"/>
      <c r="T1071" s="4"/>
    </row>
    <row r="1072" ht="12.75">
      <c r="A1072" s="109" t="s">
        <v>604</v>
      </c>
    </row>
    <row r="1073" ht="12.75">
      <c r="A1073" s="109" t="s">
        <v>605</v>
      </c>
    </row>
    <row r="1074" ht="12.75">
      <c r="A1074" s="109" t="s">
        <v>607</v>
      </c>
    </row>
    <row r="1075" ht="12.75">
      <c r="A1075" t="s">
        <v>606</v>
      </c>
    </row>
    <row r="1076" ht="12.75">
      <c r="A1076" s="109" t="s">
        <v>608</v>
      </c>
    </row>
    <row r="1081" ht="13.5" thickBot="1"/>
    <row r="1082" spans="1:22" ht="13.5" thickBot="1">
      <c r="A1082" s="177" t="s">
        <v>44</v>
      </c>
      <c r="B1082" s="178"/>
      <c r="C1082" s="178"/>
      <c r="D1082" s="179"/>
      <c r="E1082" s="179"/>
      <c r="F1082" s="179"/>
      <c r="G1082" s="15" t="s">
        <v>23</v>
      </c>
      <c r="H1082" s="136"/>
      <c r="I1082" s="137" t="s">
        <v>395</v>
      </c>
      <c r="J1082" s="216"/>
      <c r="K1082" s="10" t="s">
        <v>25</v>
      </c>
      <c r="L1082" s="238" t="s">
        <v>645</v>
      </c>
      <c r="M1082" s="403" t="s">
        <v>296</v>
      </c>
      <c r="N1082" s="426" t="s">
        <v>684</v>
      </c>
      <c r="O1082" s="403" t="s">
        <v>296</v>
      </c>
      <c r="P1082" s="426" t="s">
        <v>683</v>
      </c>
      <c r="Q1082" s="403" t="s">
        <v>296</v>
      </c>
      <c r="R1082" s="426" t="s">
        <v>681</v>
      </c>
      <c r="S1082" s="403" t="s">
        <v>296</v>
      </c>
      <c r="T1082" s="421" t="s">
        <v>681</v>
      </c>
      <c r="U1082" s="403" t="s">
        <v>296</v>
      </c>
      <c r="V1082" s="421" t="s">
        <v>681</v>
      </c>
    </row>
    <row r="1083" spans="1:22" ht="16.5" thickTop="1">
      <c r="A1083" s="239" t="s">
        <v>180</v>
      </c>
      <c r="B1083" s="181" t="s">
        <v>181</v>
      </c>
      <c r="C1083" s="217"/>
      <c r="D1083" s="12"/>
      <c r="E1083" s="12"/>
      <c r="F1083" s="12"/>
      <c r="G1083" s="11" t="s">
        <v>45</v>
      </c>
      <c r="H1083" s="32" t="s">
        <v>27</v>
      </c>
      <c r="I1083" s="6" t="s">
        <v>92</v>
      </c>
      <c r="J1083" s="108" t="s">
        <v>29</v>
      </c>
      <c r="K1083" s="33" t="s">
        <v>46</v>
      </c>
      <c r="L1083" s="208"/>
      <c r="M1083" s="25" t="s">
        <v>297</v>
      </c>
      <c r="N1083" s="425"/>
      <c r="O1083" s="25" t="s">
        <v>750</v>
      </c>
      <c r="P1083" s="547"/>
      <c r="Q1083" s="25" t="s">
        <v>896</v>
      </c>
      <c r="R1083" s="547"/>
      <c r="S1083" s="25" t="s">
        <v>957</v>
      </c>
      <c r="T1083" s="422"/>
      <c r="U1083" s="25" t="s">
        <v>252</v>
      </c>
      <c r="V1083" s="422"/>
    </row>
    <row r="1084" spans="1:22" ht="16.5" thickBot="1">
      <c r="A1084" s="323"/>
      <c r="B1084" s="280"/>
      <c r="C1084" s="281"/>
      <c r="D1084" s="37"/>
      <c r="E1084" s="37"/>
      <c r="F1084" s="37"/>
      <c r="G1084" s="83"/>
      <c r="H1084" s="84">
        <v>38335</v>
      </c>
      <c r="I1084" s="148">
        <v>38587</v>
      </c>
      <c r="J1084" s="110" t="s">
        <v>31</v>
      </c>
      <c r="K1084" s="33" t="s">
        <v>32</v>
      </c>
      <c r="L1084" s="242"/>
      <c r="M1084" s="404"/>
      <c r="N1084" s="429"/>
      <c r="O1084" s="404"/>
      <c r="P1084" s="548"/>
      <c r="Q1084" s="404"/>
      <c r="R1084" s="548"/>
      <c r="S1084" s="404"/>
      <c r="T1084" s="423"/>
      <c r="U1084" s="404"/>
      <c r="V1084" s="423"/>
    </row>
    <row r="1085" spans="1:20" ht="13.5" thickBot="1">
      <c r="A1085" s="186" t="s">
        <v>47</v>
      </c>
      <c r="B1085" s="187" t="s">
        <v>48</v>
      </c>
      <c r="C1085" s="39"/>
      <c r="D1085" s="188" t="s">
        <v>48</v>
      </c>
      <c r="E1085" s="19"/>
      <c r="F1085" s="19"/>
      <c r="G1085" s="152">
        <v>1</v>
      </c>
      <c r="H1085" s="41">
        <v>2</v>
      </c>
      <c r="I1085" s="188">
        <v>3</v>
      </c>
      <c r="J1085" s="22">
        <v>4</v>
      </c>
      <c r="K1085" s="40">
        <v>1</v>
      </c>
      <c r="L1085" s="599">
        <v>1</v>
      </c>
      <c r="M1085" s="409"/>
      <c r="N1085" s="424"/>
      <c r="P1085" s="547"/>
      <c r="R1085" s="556"/>
      <c r="T1085" s="556"/>
    </row>
    <row r="1086" spans="1:22" s="28" customFormat="1" ht="15">
      <c r="A1086" s="371"/>
      <c r="B1086" s="445" t="s">
        <v>228</v>
      </c>
      <c r="C1086" s="372"/>
      <c r="D1086" s="373"/>
      <c r="E1086" s="373"/>
      <c r="F1086" s="373"/>
      <c r="G1086" s="390">
        <f aca="true" t="shared" si="196" ref="G1086:M1086">G1088+G1120+G1125+G1130</f>
        <v>916</v>
      </c>
      <c r="H1086" s="392">
        <f t="shared" si="196"/>
        <v>1668</v>
      </c>
      <c r="I1086" s="390">
        <f t="shared" si="196"/>
        <v>1183</v>
      </c>
      <c r="J1086" s="456">
        <f t="shared" si="196"/>
        <v>691</v>
      </c>
      <c r="K1086" s="390">
        <f t="shared" si="196"/>
        <v>2644</v>
      </c>
      <c r="L1086" s="390">
        <f t="shared" si="196"/>
        <v>2919</v>
      </c>
      <c r="M1086" s="392">
        <f t="shared" si="196"/>
        <v>251</v>
      </c>
      <c r="N1086" s="440">
        <f>SUM(M1086/L1086)*100</f>
        <v>8.598835217540254</v>
      </c>
      <c r="O1086" s="392">
        <f>O1088+O1120+O1125+O1130</f>
        <v>271</v>
      </c>
      <c r="P1086" s="567">
        <f>SUM(O1086/L1086)*100</f>
        <v>9.284001370332305</v>
      </c>
      <c r="Q1086" s="392">
        <f>Q1088+Q1120+Q1125+Q1130</f>
        <v>369</v>
      </c>
      <c r="R1086" s="567">
        <f>SUM(Q1086/L1086)*100</f>
        <v>12.64131551901336</v>
      </c>
      <c r="S1086" s="392">
        <f>S1088+S1120+S1125+S1130</f>
        <v>376</v>
      </c>
      <c r="T1086" s="567">
        <f>SUM(S1086/L1086)*100</f>
        <v>12.88112367249058</v>
      </c>
      <c r="U1086" s="392">
        <f>U1088+U1120+U1125+U1130</f>
        <v>426</v>
      </c>
      <c r="V1086" s="783"/>
    </row>
    <row r="1087" spans="1:21" ht="12.75">
      <c r="A1087" s="301"/>
      <c r="B1087" s="282" t="s">
        <v>37</v>
      </c>
      <c r="C1087" s="161"/>
      <c r="D1087" s="162"/>
      <c r="E1087" s="162"/>
      <c r="F1087" s="162"/>
      <c r="G1087" s="284"/>
      <c r="H1087" s="12"/>
      <c r="I1087" s="14"/>
      <c r="J1087" s="12"/>
      <c r="K1087" s="14"/>
      <c r="L1087" s="375">
        <f>SUM(L1088+L1120+L1125)</f>
        <v>1637</v>
      </c>
      <c r="M1087" s="121"/>
      <c r="N1087" s="431"/>
      <c r="O1087" s="376">
        <f>SUM(O1088+O1120+O1125)</f>
        <v>271</v>
      </c>
      <c r="P1087" s="431">
        <f>SUM(O1087/L1087)*100</f>
        <v>16.554673182651193</v>
      </c>
      <c r="Q1087" s="376">
        <f>SUM(Q1088+Q1120+Q1125)</f>
        <v>369</v>
      </c>
      <c r="R1087" s="431">
        <f>SUM(Q1087/L1087)*100</f>
        <v>22.541233964569336</v>
      </c>
      <c r="S1087" s="376">
        <f>SUM(S1088+S1120+S1125)</f>
        <v>376</v>
      </c>
      <c r="T1087" s="431">
        <f>SUM(S1087/L1087)*100</f>
        <v>22.96884544899206</v>
      </c>
      <c r="U1087" s="376">
        <f>SUM(U1088+U1120+U1125)</f>
        <v>426</v>
      </c>
    </row>
    <row r="1088" spans="1:21" ht="12.75">
      <c r="A1088" s="66">
        <v>630</v>
      </c>
      <c r="B1088" s="199" t="s">
        <v>506</v>
      </c>
      <c r="C1088" s="49"/>
      <c r="D1088" s="49"/>
      <c r="E1088" s="49"/>
      <c r="F1088" s="49"/>
      <c r="G1088" s="66">
        <f>G1089+G1095+G1101+G1107+G1110+G1113</f>
        <v>609</v>
      </c>
      <c r="H1088" s="49">
        <f aca="true" t="shared" si="197" ref="H1088:M1088">H1089+H1095+H1101+H1107+H1109+H1113</f>
        <v>1386</v>
      </c>
      <c r="I1088" s="66">
        <f t="shared" si="197"/>
        <v>901</v>
      </c>
      <c r="J1088" s="49">
        <f t="shared" si="197"/>
        <v>444</v>
      </c>
      <c r="K1088" s="66">
        <f t="shared" si="197"/>
        <v>1153</v>
      </c>
      <c r="L1088" s="50">
        <f t="shared" si="197"/>
        <v>1178</v>
      </c>
      <c r="M1088" s="199">
        <f t="shared" si="197"/>
        <v>10</v>
      </c>
      <c r="N1088" s="433">
        <f>SUM(M1088/L1088)*100</f>
        <v>0.8488964346349746</v>
      </c>
      <c r="O1088" s="197">
        <f>O1089+O1095+O1101+O1107+O1109+O1113</f>
        <v>10</v>
      </c>
      <c r="P1088" s="433">
        <f>SUM(O1088/L1088)*100</f>
        <v>0.8488964346349746</v>
      </c>
      <c r="Q1088" s="197">
        <f>Q1089+Q1095+Q1101+Q1107+Q1109+Q1113</f>
        <v>65</v>
      </c>
      <c r="R1088" s="433">
        <f>SUM(Q1088/L1088)*100</f>
        <v>5.517826825127335</v>
      </c>
      <c r="S1088" s="197">
        <f>S1089+S1095+S1101+S1107+S1109+S1113</f>
        <v>72</v>
      </c>
      <c r="T1088" s="433">
        <f>SUM(S1088/L1088)*100</f>
        <v>6.112054329371817</v>
      </c>
      <c r="U1088" s="197">
        <f>U1089+U1095+U1101+U1107+U1109+U1113</f>
        <v>102</v>
      </c>
    </row>
    <row r="1089" spans="1:21" ht="12.75">
      <c r="A1089" s="71">
        <v>632001</v>
      </c>
      <c r="B1089" s="23" t="s">
        <v>235</v>
      </c>
      <c r="C1089" s="49"/>
      <c r="D1089" s="12"/>
      <c r="E1089" s="12"/>
      <c r="F1089" s="12"/>
      <c r="G1089" s="284">
        <f aca="true" t="shared" si="198" ref="G1089:L1089">SUM(G1090:G1094)</f>
        <v>2</v>
      </c>
      <c r="H1089" s="55">
        <f t="shared" si="198"/>
        <v>62</v>
      </c>
      <c r="I1089" s="53">
        <f t="shared" si="198"/>
        <v>62</v>
      </c>
      <c r="J1089" s="55">
        <f t="shared" si="198"/>
        <v>0</v>
      </c>
      <c r="K1089" s="53">
        <f t="shared" si="198"/>
        <v>2</v>
      </c>
      <c r="L1089" s="92">
        <f t="shared" si="198"/>
        <v>27</v>
      </c>
      <c r="M1089" s="389"/>
      <c r="N1089" s="430"/>
      <c r="O1089" s="389"/>
      <c r="P1089" s="549"/>
      <c r="Q1089" s="206">
        <f>SUM(Q1090:Q1094)</f>
        <v>7</v>
      </c>
      <c r="R1089" s="430">
        <f>SUM(Q1089/L1089)*100</f>
        <v>25.925925925925924</v>
      </c>
      <c r="S1089" s="206">
        <f>SUM(S1090:S1094)</f>
        <v>7</v>
      </c>
      <c r="T1089" s="430">
        <f>SUM(S1089/L1089)*100</f>
        <v>25.925925925925924</v>
      </c>
      <c r="U1089" s="206">
        <f>SUM(U1090:U1094)</f>
        <v>7</v>
      </c>
    </row>
    <row r="1090" spans="1:22" ht="12.75">
      <c r="A1090" s="67"/>
      <c r="B1090" s="72" t="s">
        <v>527</v>
      </c>
      <c r="C1090" s="70"/>
      <c r="D1090" s="12"/>
      <c r="E1090" s="12"/>
      <c r="F1090" s="12"/>
      <c r="G1090" s="311">
        <v>2</v>
      </c>
      <c r="H1090" s="312">
        <v>30</v>
      </c>
      <c r="I1090" s="311">
        <v>30</v>
      </c>
      <c r="J1090" s="312">
        <v>0</v>
      </c>
      <c r="K1090" s="67">
        <v>2</v>
      </c>
      <c r="L1090" s="60">
        <v>2</v>
      </c>
      <c r="N1090" s="425"/>
      <c r="P1090" s="547"/>
      <c r="R1090" s="547"/>
      <c r="T1090" s="547"/>
      <c r="U1090" s="398">
        <v>0</v>
      </c>
      <c r="V1090" s="398"/>
    </row>
    <row r="1091" spans="1:22" ht="12.75">
      <c r="A1091" s="67"/>
      <c r="B1091" s="72" t="s">
        <v>528</v>
      </c>
      <c r="C1091" s="70"/>
      <c r="D1091" s="12"/>
      <c r="E1091" s="12"/>
      <c r="F1091" s="12"/>
      <c r="G1091" s="311">
        <v>0</v>
      </c>
      <c r="H1091" s="312">
        <v>7</v>
      </c>
      <c r="I1091" s="311">
        <v>7</v>
      </c>
      <c r="J1091" s="312">
        <v>0</v>
      </c>
      <c r="K1091" s="67">
        <v>0</v>
      </c>
      <c r="L1091" s="60">
        <v>6</v>
      </c>
      <c r="N1091" s="425"/>
      <c r="P1091" s="547"/>
      <c r="Q1091" s="398">
        <v>6</v>
      </c>
      <c r="R1091" s="441">
        <f>SUM(Q1091/L1091)*100</f>
        <v>100</v>
      </c>
      <c r="S1091" s="398">
        <v>6</v>
      </c>
      <c r="T1091" s="441">
        <f>SUM(S1091/L1091)*100</f>
        <v>100</v>
      </c>
      <c r="U1091" s="398">
        <v>6</v>
      </c>
      <c r="V1091" s="398"/>
    </row>
    <row r="1092" spans="1:22" ht="12.75">
      <c r="A1092" s="67"/>
      <c r="B1092" s="72" t="s">
        <v>529</v>
      </c>
      <c r="C1092" s="70"/>
      <c r="D1092" s="12"/>
      <c r="E1092" s="12"/>
      <c r="F1092" s="12"/>
      <c r="G1092" s="311">
        <v>0</v>
      </c>
      <c r="H1092" s="312">
        <v>15</v>
      </c>
      <c r="I1092" s="311">
        <v>15</v>
      </c>
      <c r="J1092" s="312">
        <v>0</v>
      </c>
      <c r="K1092" s="67">
        <v>0</v>
      </c>
      <c r="L1092" s="60">
        <v>15</v>
      </c>
      <c r="N1092" s="425"/>
      <c r="P1092" s="547"/>
      <c r="Q1092" s="398"/>
      <c r="R1092" s="569"/>
      <c r="S1092" s="398"/>
      <c r="T1092" s="569"/>
      <c r="U1092" s="398"/>
      <c r="V1092" s="398"/>
    </row>
    <row r="1093" spans="1:22" ht="12.75">
      <c r="A1093" s="67"/>
      <c r="B1093" s="72" t="s">
        <v>530</v>
      </c>
      <c r="C1093" s="70"/>
      <c r="D1093" s="12"/>
      <c r="E1093" s="12"/>
      <c r="F1093" s="12"/>
      <c r="G1093" s="311">
        <v>0</v>
      </c>
      <c r="H1093" s="312">
        <v>5</v>
      </c>
      <c r="I1093" s="311">
        <v>5</v>
      </c>
      <c r="J1093" s="312">
        <v>0</v>
      </c>
      <c r="K1093" s="67">
        <v>0</v>
      </c>
      <c r="L1093" s="60">
        <v>2</v>
      </c>
      <c r="N1093" s="425"/>
      <c r="P1093" s="547"/>
      <c r="Q1093" s="398">
        <v>1</v>
      </c>
      <c r="R1093" s="569"/>
      <c r="S1093" s="398">
        <v>1</v>
      </c>
      <c r="T1093" s="569"/>
      <c r="U1093" s="398">
        <v>1</v>
      </c>
      <c r="V1093" s="398"/>
    </row>
    <row r="1094" spans="1:22" ht="12.75">
      <c r="A1094" s="67"/>
      <c r="B1094" s="72" t="s">
        <v>531</v>
      </c>
      <c r="C1094" s="70"/>
      <c r="D1094" s="12"/>
      <c r="E1094" s="12"/>
      <c r="F1094" s="12"/>
      <c r="G1094" s="311">
        <v>0</v>
      </c>
      <c r="H1094" s="312">
        <v>5</v>
      </c>
      <c r="I1094" s="311">
        <v>5</v>
      </c>
      <c r="J1094" s="312">
        <v>0</v>
      </c>
      <c r="K1094" s="67">
        <v>0</v>
      </c>
      <c r="L1094" s="60">
        <v>2</v>
      </c>
      <c r="N1094" s="425"/>
      <c r="P1094" s="547"/>
      <c r="Q1094" s="398"/>
      <c r="R1094" s="569"/>
      <c r="S1094" s="398"/>
      <c r="T1094" s="569"/>
      <c r="U1094" s="398"/>
      <c r="V1094" s="398"/>
    </row>
    <row r="1095" spans="1:21" ht="12.75">
      <c r="A1095" s="14">
        <v>633006</v>
      </c>
      <c r="B1095" s="11" t="s">
        <v>532</v>
      </c>
      <c r="C1095" s="12"/>
      <c r="D1095" s="12"/>
      <c r="E1095" s="12"/>
      <c r="F1095" s="12"/>
      <c r="G1095" s="261">
        <f aca="true" t="shared" si="199" ref="G1095:L1095">SUM(G1096:G1100)</f>
        <v>29</v>
      </c>
      <c r="H1095" s="24">
        <f t="shared" si="199"/>
        <v>54</v>
      </c>
      <c r="I1095" s="71">
        <f t="shared" si="199"/>
        <v>54</v>
      </c>
      <c r="J1095" s="24">
        <f t="shared" si="199"/>
        <v>5</v>
      </c>
      <c r="K1095" s="71">
        <f t="shared" si="199"/>
        <v>65</v>
      </c>
      <c r="L1095" s="92">
        <f t="shared" si="199"/>
        <v>65</v>
      </c>
      <c r="N1095" s="425"/>
      <c r="P1095" s="547"/>
      <c r="Q1095" s="206">
        <f>SUM(Q1096:Q1100)</f>
        <v>4</v>
      </c>
      <c r="R1095" s="430">
        <f>SUM(Q1095/L1095)*100</f>
        <v>6.153846153846154</v>
      </c>
      <c r="S1095" s="206">
        <f>SUM(S1096:S1100)</f>
        <v>12</v>
      </c>
      <c r="T1095" s="430">
        <f>SUM(S1095/L1095)*100</f>
        <v>18.461538461538463</v>
      </c>
      <c r="U1095" s="206">
        <f>SUM(U1096:U1100)</f>
        <v>12</v>
      </c>
    </row>
    <row r="1096" spans="1:22" ht="12.75">
      <c r="A1096" s="14"/>
      <c r="B1096" s="72" t="s">
        <v>528</v>
      </c>
      <c r="C1096" s="70"/>
      <c r="D1096" s="12"/>
      <c r="E1096" s="12"/>
      <c r="F1096" s="12"/>
      <c r="G1096" s="311">
        <v>9</v>
      </c>
      <c r="H1096" s="312">
        <v>10</v>
      </c>
      <c r="I1096" s="311">
        <v>10</v>
      </c>
      <c r="J1096" s="312">
        <v>5</v>
      </c>
      <c r="K1096" s="67">
        <v>15</v>
      </c>
      <c r="L1096" s="60">
        <v>15</v>
      </c>
      <c r="N1096" s="425"/>
      <c r="P1096" s="547"/>
      <c r="Q1096" s="398">
        <v>4</v>
      </c>
      <c r="R1096" s="441">
        <f>SUM(Q1096/L1096)*100</f>
        <v>26.666666666666668</v>
      </c>
      <c r="S1096" s="398">
        <v>12</v>
      </c>
      <c r="T1096" s="441">
        <f>SUM(S1096/L1096)*100</f>
        <v>80</v>
      </c>
      <c r="U1096" s="398">
        <v>12</v>
      </c>
      <c r="V1096" s="398"/>
    </row>
    <row r="1097" spans="1:22" ht="12.75">
      <c r="A1097" s="14"/>
      <c r="B1097" s="72" t="s">
        <v>527</v>
      </c>
      <c r="C1097" s="70"/>
      <c r="D1097" s="12"/>
      <c r="E1097" s="12"/>
      <c r="F1097" s="12"/>
      <c r="G1097" s="311">
        <v>17</v>
      </c>
      <c r="H1097" s="312">
        <v>20</v>
      </c>
      <c r="I1097" s="311">
        <v>20</v>
      </c>
      <c r="J1097" s="312">
        <v>0</v>
      </c>
      <c r="K1097" s="67">
        <v>25</v>
      </c>
      <c r="L1097" s="60">
        <v>25</v>
      </c>
      <c r="N1097" s="425"/>
      <c r="P1097" s="547"/>
      <c r="Q1097" s="398"/>
      <c r="R1097" s="441"/>
      <c r="S1097" s="398"/>
      <c r="T1097" s="547"/>
      <c r="U1097" s="398"/>
      <c r="V1097" s="398"/>
    </row>
    <row r="1098" spans="1:22" ht="12.75">
      <c r="A1098" s="14"/>
      <c r="B1098" s="72" t="s">
        <v>531</v>
      </c>
      <c r="C1098" s="70"/>
      <c r="D1098" s="12"/>
      <c r="E1098" s="12"/>
      <c r="F1098" s="12"/>
      <c r="G1098" s="311">
        <v>3</v>
      </c>
      <c r="H1098" s="312">
        <v>7</v>
      </c>
      <c r="I1098" s="311">
        <v>7</v>
      </c>
      <c r="J1098" s="312">
        <v>0</v>
      </c>
      <c r="K1098" s="67">
        <v>7</v>
      </c>
      <c r="L1098" s="60">
        <v>7</v>
      </c>
      <c r="N1098" s="425"/>
      <c r="P1098" s="547"/>
      <c r="Q1098" s="398"/>
      <c r="R1098" s="441"/>
      <c r="S1098" s="398"/>
      <c r="T1098" s="547"/>
      <c r="U1098" s="398"/>
      <c r="V1098" s="398"/>
    </row>
    <row r="1099" spans="1:22" ht="12.75">
      <c r="A1099" s="14"/>
      <c r="B1099" s="72" t="s">
        <v>530</v>
      </c>
      <c r="C1099" s="70"/>
      <c r="D1099" s="12"/>
      <c r="E1099" s="12"/>
      <c r="F1099" s="12"/>
      <c r="G1099" s="311">
        <v>0</v>
      </c>
      <c r="H1099" s="312">
        <v>7</v>
      </c>
      <c r="I1099" s="311">
        <v>7</v>
      </c>
      <c r="J1099" s="312">
        <v>0</v>
      </c>
      <c r="K1099" s="67">
        <v>7</v>
      </c>
      <c r="L1099" s="60">
        <v>7</v>
      </c>
      <c r="N1099" s="425"/>
      <c r="P1099" s="547"/>
      <c r="Q1099" s="398"/>
      <c r="R1099" s="441"/>
      <c r="S1099" s="398"/>
      <c r="T1099" s="547"/>
      <c r="U1099" s="398"/>
      <c r="V1099" s="398"/>
    </row>
    <row r="1100" spans="1:20" ht="12.75">
      <c r="A1100" s="14"/>
      <c r="B1100" s="72" t="s">
        <v>529</v>
      </c>
      <c r="C1100" s="70"/>
      <c r="D1100" s="12"/>
      <c r="E1100" s="12"/>
      <c r="F1100" s="12"/>
      <c r="G1100" s="311">
        <v>0</v>
      </c>
      <c r="H1100" s="312">
        <v>10</v>
      </c>
      <c r="I1100" s="311">
        <v>10</v>
      </c>
      <c r="J1100" s="312">
        <v>0</v>
      </c>
      <c r="K1100" s="67">
        <v>11</v>
      </c>
      <c r="L1100" s="60">
        <v>11</v>
      </c>
      <c r="N1100" s="425"/>
      <c r="P1100" s="547"/>
      <c r="Q1100" s="398"/>
      <c r="R1100" s="441"/>
      <c r="S1100" s="398"/>
      <c r="T1100" s="547"/>
    </row>
    <row r="1101" spans="1:20" ht="12.75">
      <c r="A1101" s="14">
        <v>636001</v>
      </c>
      <c r="B1101" s="11" t="s">
        <v>533</v>
      </c>
      <c r="C1101" s="12"/>
      <c r="D1101" s="12"/>
      <c r="E1101" s="12"/>
      <c r="F1101" s="12"/>
      <c r="G1101" s="284">
        <f aca="true" t="shared" si="200" ref="G1101:L1101">SUM(G1102:G1106)</f>
        <v>58</v>
      </c>
      <c r="H1101" s="24">
        <f t="shared" si="200"/>
        <v>85</v>
      </c>
      <c r="I1101" s="71">
        <f t="shared" si="200"/>
        <v>85</v>
      </c>
      <c r="J1101" s="24">
        <f t="shared" si="200"/>
        <v>0</v>
      </c>
      <c r="K1101" s="71">
        <f t="shared" si="200"/>
        <v>10</v>
      </c>
      <c r="L1101" s="92">
        <f t="shared" si="200"/>
        <v>10</v>
      </c>
      <c r="N1101" s="425"/>
      <c r="P1101" s="547"/>
      <c r="R1101" s="547"/>
      <c r="T1101" s="547"/>
    </row>
    <row r="1102" spans="1:20" ht="12.75">
      <c r="A1102" s="14"/>
      <c r="B1102" s="72" t="s">
        <v>527</v>
      </c>
      <c r="C1102" s="12"/>
      <c r="D1102" s="12"/>
      <c r="E1102" s="12"/>
      <c r="F1102" s="12"/>
      <c r="G1102" s="311">
        <v>58</v>
      </c>
      <c r="H1102" s="312">
        <v>65</v>
      </c>
      <c r="I1102" s="311">
        <v>65</v>
      </c>
      <c r="J1102" s="312">
        <v>0</v>
      </c>
      <c r="K1102" s="67">
        <f>65-55</f>
        <v>10</v>
      </c>
      <c r="L1102" s="60">
        <f>65-55</f>
        <v>10</v>
      </c>
      <c r="N1102" s="425"/>
      <c r="P1102" s="547"/>
      <c r="R1102" s="547"/>
      <c r="T1102" s="547"/>
    </row>
    <row r="1103" spans="1:20" ht="12.75">
      <c r="A1103" s="14"/>
      <c r="B1103" s="72" t="s">
        <v>528</v>
      </c>
      <c r="C1103" s="12"/>
      <c r="D1103" s="12"/>
      <c r="E1103" s="12"/>
      <c r="F1103" s="12"/>
      <c r="G1103" s="311">
        <v>0</v>
      </c>
      <c r="H1103" s="312">
        <v>5</v>
      </c>
      <c r="I1103" s="311">
        <v>5</v>
      </c>
      <c r="J1103" s="312">
        <v>0</v>
      </c>
      <c r="K1103" s="67">
        <v>0</v>
      </c>
      <c r="L1103" s="60">
        <v>0</v>
      </c>
      <c r="N1103" s="425"/>
      <c r="P1103" s="547"/>
      <c r="R1103" s="547"/>
      <c r="T1103" s="547"/>
    </row>
    <row r="1104" spans="1:20" ht="12.75">
      <c r="A1104" s="14"/>
      <c r="B1104" s="72" t="s">
        <v>529</v>
      </c>
      <c r="C1104" s="12"/>
      <c r="D1104" s="12"/>
      <c r="E1104" s="12"/>
      <c r="F1104" s="12"/>
      <c r="G1104" s="311">
        <v>0</v>
      </c>
      <c r="H1104" s="312">
        <v>5</v>
      </c>
      <c r="I1104" s="311">
        <v>5</v>
      </c>
      <c r="J1104" s="312">
        <v>0</v>
      </c>
      <c r="K1104" s="67">
        <v>0</v>
      </c>
      <c r="L1104" s="60">
        <v>0</v>
      </c>
      <c r="N1104" s="425"/>
      <c r="P1104" s="547"/>
      <c r="R1104" s="547"/>
      <c r="T1104" s="547"/>
    </row>
    <row r="1105" spans="1:20" ht="12.75">
      <c r="A1105" s="14"/>
      <c r="B1105" s="72" t="s">
        <v>531</v>
      </c>
      <c r="C1105" s="12"/>
      <c r="D1105" s="12"/>
      <c r="E1105" s="12"/>
      <c r="F1105" s="12"/>
      <c r="G1105" s="311">
        <v>0</v>
      </c>
      <c r="H1105" s="312">
        <v>5</v>
      </c>
      <c r="I1105" s="311">
        <v>5</v>
      </c>
      <c r="J1105" s="312">
        <v>0</v>
      </c>
      <c r="K1105" s="67">
        <v>0</v>
      </c>
      <c r="L1105" s="60">
        <v>0</v>
      </c>
      <c r="N1105" s="425"/>
      <c r="P1105" s="547"/>
      <c r="R1105" s="547"/>
      <c r="T1105" s="547"/>
    </row>
    <row r="1106" spans="1:20" ht="12.75">
      <c r="A1106" s="14"/>
      <c r="B1106" s="72" t="s">
        <v>530</v>
      </c>
      <c r="C1106" s="12"/>
      <c r="D1106" s="12"/>
      <c r="E1106" s="12"/>
      <c r="F1106" s="12"/>
      <c r="G1106" s="311">
        <v>0</v>
      </c>
      <c r="H1106" s="312">
        <v>5</v>
      </c>
      <c r="I1106" s="311">
        <v>5</v>
      </c>
      <c r="J1106" s="312">
        <v>0</v>
      </c>
      <c r="K1106" s="67">
        <v>0</v>
      </c>
      <c r="L1106" s="60">
        <v>0</v>
      </c>
      <c r="N1106" s="425"/>
      <c r="P1106" s="547"/>
      <c r="R1106" s="547"/>
      <c r="T1106" s="547"/>
    </row>
    <row r="1107" spans="1:20" ht="12.75">
      <c r="A1107" s="14">
        <v>636002</v>
      </c>
      <c r="B1107" s="11" t="s">
        <v>534</v>
      </c>
      <c r="C1107" s="12"/>
      <c r="D1107" s="12"/>
      <c r="E1107" s="12"/>
      <c r="F1107" s="12"/>
      <c r="G1107" s="284">
        <v>0</v>
      </c>
      <c r="H1107" s="55">
        <f>SUM(H1108:H1108)</f>
        <v>5</v>
      </c>
      <c r="I1107" s="53">
        <f>SUM(I1108:I1108)</f>
        <v>5</v>
      </c>
      <c r="J1107" s="55">
        <f>SUM(J1108:J1108)</f>
        <v>0</v>
      </c>
      <c r="K1107" s="53">
        <f>SUM(K1108:K1108)</f>
        <v>0</v>
      </c>
      <c r="L1107" s="56">
        <f>SUM(L1108:L1108)</f>
        <v>0</v>
      </c>
      <c r="N1107" s="425"/>
      <c r="P1107" s="547"/>
      <c r="R1107" s="547"/>
      <c r="T1107" s="547"/>
    </row>
    <row r="1108" spans="1:20" ht="12.75">
      <c r="A1108" s="14"/>
      <c r="B1108" s="72" t="s">
        <v>527</v>
      </c>
      <c r="C1108" s="12"/>
      <c r="D1108" s="12"/>
      <c r="E1108" s="12"/>
      <c r="F1108" s="12"/>
      <c r="G1108" s="311">
        <v>0</v>
      </c>
      <c r="H1108" s="70">
        <v>5</v>
      </c>
      <c r="I1108" s="67">
        <v>5</v>
      </c>
      <c r="J1108" s="70">
        <v>0</v>
      </c>
      <c r="K1108" s="14">
        <v>0</v>
      </c>
      <c r="L1108" s="26">
        <v>0</v>
      </c>
      <c r="N1108" s="425"/>
      <c r="P1108" s="547"/>
      <c r="R1108" s="547"/>
      <c r="T1108" s="547"/>
    </row>
    <row r="1109" spans="1:21" ht="12.75">
      <c r="A1109" s="71">
        <v>637003</v>
      </c>
      <c r="B1109" s="23" t="s">
        <v>290</v>
      </c>
      <c r="C1109" s="55"/>
      <c r="D1109" s="12"/>
      <c r="E1109" s="12"/>
      <c r="F1109" s="12"/>
      <c r="G1109" s="284">
        <f aca="true" t="shared" si="201" ref="G1109:U1109">SUM(G1110:G1112)</f>
        <v>150</v>
      </c>
      <c r="H1109" s="162">
        <f t="shared" si="201"/>
        <v>797</v>
      </c>
      <c r="I1109" s="284">
        <f t="shared" si="201"/>
        <v>312</v>
      </c>
      <c r="J1109" s="162">
        <f t="shared" si="201"/>
        <v>401</v>
      </c>
      <c r="K1109" s="284">
        <f t="shared" si="201"/>
        <v>560</v>
      </c>
      <c r="L1109" s="155">
        <f t="shared" si="201"/>
        <v>560</v>
      </c>
      <c r="M1109" s="251">
        <f t="shared" si="201"/>
        <v>10</v>
      </c>
      <c r="N1109" s="430">
        <f>SUM(M1109/L1109)*100</f>
        <v>1.7857142857142856</v>
      </c>
      <c r="O1109" s="406">
        <f t="shared" si="201"/>
        <v>10</v>
      </c>
      <c r="P1109" s="430">
        <f>SUM(O1109/L1109)*100</f>
        <v>1.7857142857142856</v>
      </c>
      <c r="Q1109" s="406">
        <f t="shared" si="201"/>
        <v>10</v>
      </c>
      <c r="R1109" s="430">
        <f>SUM(Q1109/L1109)*100</f>
        <v>1.7857142857142856</v>
      </c>
      <c r="S1109" s="406">
        <f t="shared" si="201"/>
        <v>10</v>
      </c>
      <c r="T1109" s="430">
        <f>SUM(S1109/L1109)*100</f>
        <v>1.7857142857142856</v>
      </c>
      <c r="U1109" s="406">
        <f t="shared" si="201"/>
        <v>40</v>
      </c>
    </row>
    <row r="1110" spans="1:22" ht="12.75">
      <c r="A1110" s="67"/>
      <c r="B1110" s="125" t="s">
        <v>899</v>
      </c>
      <c r="C1110" s="24"/>
      <c r="D1110" s="24"/>
      <c r="E1110" s="24"/>
      <c r="F1110" s="24"/>
      <c r="G1110" s="311">
        <v>150</v>
      </c>
      <c r="H1110" s="70">
        <v>100</v>
      </c>
      <c r="I1110" s="67">
        <v>100</v>
      </c>
      <c r="J1110" s="70">
        <v>58</v>
      </c>
      <c r="K1110" s="67">
        <v>60</v>
      </c>
      <c r="L1110" s="60">
        <v>60</v>
      </c>
      <c r="M1110" s="398">
        <v>10</v>
      </c>
      <c r="N1110" s="441">
        <f>SUM(M1110/L1110)*100</f>
        <v>16.666666666666664</v>
      </c>
      <c r="O1110" s="398">
        <v>10</v>
      </c>
      <c r="P1110" s="441">
        <f>SUM(O1110/L1110)*100</f>
        <v>16.666666666666664</v>
      </c>
      <c r="Q1110" s="398">
        <v>10</v>
      </c>
      <c r="R1110" s="441">
        <f>SUM(Q1110/L1110)*100</f>
        <v>16.666666666666664</v>
      </c>
      <c r="S1110" s="398">
        <v>10</v>
      </c>
      <c r="T1110" s="441">
        <f>SUM(S1110/L1110)*100</f>
        <v>16.666666666666664</v>
      </c>
      <c r="U1110" s="398">
        <v>40</v>
      </c>
      <c r="V1110" s="398"/>
    </row>
    <row r="1111" spans="1:22" ht="12.75">
      <c r="A1111" s="67"/>
      <c r="B1111" s="23" t="s">
        <v>535</v>
      </c>
      <c r="C1111" s="24"/>
      <c r="D1111" s="24"/>
      <c r="E1111" s="24"/>
      <c r="F1111" s="24"/>
      <c r="G1111" s="311">
        <v>0</v>
      </c>
      <c r="H1111" s="70">
        <v>0</v>
      </c>
      <c r="I1111" s="67">
        <v>0</v>
      </c>
      <c r="J1111" s="70">
        <v>0</v>
      </c>
      <c r="K1111" s="67">
        <v>500</v>
      </c>
      <c r="L1111" s="60">
        <f>500</f>
        <v>500</v>
      </c>
      <c r="M1111" s="398"/>
      <c r="N1111" s="441"/>
      <c r="O1111" s="398"/>
      <c r="P1111" s="569"/>
      <c r="Q1111" s="398"/>
      <c r="R1111" s="569"/>
      <c r="S1111" s="398"/>
      <c r="T1111" s="547"/>
      <c r="U1111" s="398"/>
      <c r="V1111" s="398"/>
    </row>
    <row r="1112" spans="1:22" ht="12.75">
      <c r="A1112" s="67"/>
      <c r="B1112" s="23" t="s">
        <v>536</v>
      </c>
      <c r="C1112" s="24"/>
      <c r="D1112" s="24"/>
      <c r="E1112" s="24"/>
      <c r="F1112" s="24"/>
      <c r="G1112" s="311">
        <v>0</v>
      </c>
      <c r="H1112" s="70">
        <v>697</v>
      </c>
      <c r="I1112" s="67">
        <v>212</v>
      </c>
      <c r="J1112" s="70">
        <f>113+230</f>
        <v>343</v>
      </c>
      <c r="K1112" s="67">
        <v>0</v>
      </c>
      <c r="L1112" s="60">
        <v>0</v>
      </c>
      <c r="M1112" s="398"/>
      <c r="N1112" s="441"/>
      <c r="O1112" s="398"/>
      <c r="P1112" s="569"/>
      <c r="Q1112" s="398"/>
      <c r="R1112" s="569"/>
      <c r="S1112" s="398"/>
      <c r="T1112" s="547"/>
      <c r="U1112" s="398"/>
      <c r="V1112" s="398"/>
    </row>
    <row r="1113" spans="1:21" ht="12.75">
      <c r="A1113" s="14">
        <v>637004</v>
      </c>
      <c r="B1113" s="11" t="s">
        <v>291</v>
      </c>
      <c r="C1113" s="12"/>
      <c r="D1113" s="12"/>
      <c r="E1113" s="12"/>
      <c r="F1113" s="12"/>
      <c r="G1113" s="261">
        <f aca="true" t="shared" si="202" ref="G1113:L1113">SUM(G1114:G1119)</f>
        <v>370</v>
      </c>
      <c r="H1113" s="24">
        <f t="shared" si="202"/>
        <v>383</v>
      </c>
      <c r="I1113" s="71">
        <f t="shared" si="202"/>
        <v>383</v>
      </c>
      <c r="J1113" s="24">
        <f t="shared" si="202"/>
        <v>38</v>
      </c>
      <c r="K1113" s="71">
        <f t="shared" si="202"/>
        <v>516</v>
      </c>
      <c r="L1113" s="92">
        <f t="shared" si="202"/>
        <v>516</v>
      </c>
      <c r="N1113" s="425"/>
      <c r="P1113" s="547"/>
      <c r="Q1113" s="206">
        <f>SUM(Q1114:Q1119)</f>
        <v>44</v>
      </c>
      <c r="R1113" s="430">
        <f>SUM(Q1113/L1113)*100</f>
        <v>8.527131782945736</v>
      </c>
      <c r="S1113" s="206">
        <f>SUM(S1114:S1119)</f>
        <v>43</v>
      </c>
      <c r="T1113" s="430">
        <f>SUM(S1113/L1113)*100</f>
        <v>8.333333333333332</v>
      </c>
      <c r="U1113" s="206">
        <f>SUM(U1114:U1119)</f>
        <v>43</v>
      </c>
    </row>
    <row r="1114" spans="1:22" ht="12.75">
      <c r="A1114" s="14"/>
      <c r="B1114" s="72" t="s">
        <v>527</v>
      </c>
      <c r="C1114" s="12"/>
      <c r="D1114" s="12"/>
      <c r="E1114" s="12"/>
      <c r="F1114" s="12"/>
      <c r="G1114" s="311">
        <v>262</v>
      </c>
      <c r="H1114" s="312">
        <v>220</v>
      </c>
      <c r="I1114" s="311">
        <v>220</v>
      </c>
      <c r="J1114" s="312">
        <v>0</v>
      </c>
      <c r="K1114" s="67">
        <f>290+55</f>
        <v>345</v>
      </c>
      <c r="L1114" s="60">
        <f>290+55</f>
        <v>345</v>
      </c>
      <c r="N1114" s="425"/>
      <c r="P1114" s="547"/>
      <c r="Q1114" s="398"/>
      <c r="R1114" s="569"/>
      <c r="T1114" s="547"/>
      <c r="U1114" s="398"/>
      <c r="V1114" s="398"/>
    </row>
    <row r="1115" spans="1:22" ht="12.75">
      <c r="A1115" s="14"/>
      <c r="B1115" s="72" t="s">
        <v>528</v>
      </c>
      <c r="C1115" s="12"/>
      <c r="D1115" s="12"/>
      <c r="E1115" s="12"/>
      <c r="F1115" s="12"/>
      <c r="G1115" s="311">
        <v>44</v>
      </c>
      <c r="H1115" s="312">
        <v>48</v>
      </c>
      <c r="I1115" s="311">
        <v>48</v>
      </c>
      <c r="J1115" s="312">
        <v>38</v>
      </c>
      <c r="K1115" s="67">
        <v>55</v>
      </c>
      <c r="L1115" s="60">
        <v>55</v>
      </c>
      <c r="N1115" s="425"/>
      <c r="P1115" s="547"/>
      <c r="Q1115" s="398">
        <v>44</v>
      </c>
      <c r="R1115" s="441">
        <f>SUM(Q1115/L1115)*100</f>
        <v>80</v>
      </c>
      <c r="S1115" s="398">
        <v>38</v>
      </c>
      <c r="T1115" s="441">
        <f>SUM(S1115/L1115)*100</f>
        <v>69.0909090909091</v>
      </c>
      <c r="U1115" s="398">
        <v>38</v>
      </c>
      <c r="V1115" s="398"/>
    </row>
    <row r="1116" spans="1:22" ht="12.75">
      <c r="A1116" s="14"/>
      <c r="B1116" s="72" t="s">
        <v>529</v>
      </c>
      <c r="C1116" s="12"/>
      <c r="D1116" s="12"/>
      <c r="E1116" s="12"/>
      <c r="F1116" s="12"/>
      <c r="G1116" s="311">
        <v>60</v>
      </c>
      <c r="H1116" s="312">
        <v>85</v>
      </c>
      <c r="I1116" s="311">
        <v>85</v>
      </c>
      <c r="J1116" s="312">
        <v>0</v>
      </c>
      <c r="K1116" s="67">
        <v>85</v>
      </c>
      <c r="L1116" s="60">
        <v>85</v>
      </c>
      <c r="N1116" s="425"/>
      <c r="P1116" s="547"/>
      <c r="Q1116" s="398"/>
      <c r="R1116" s="569"/>
      <c r="S1116" s="398"/>
      <c r="T1116" s="569"/>
      <c r="U1116" s="398"/>
      <c r="V1116" s="398"/>
    </row>
    <row r="1117" spans="1:22" ht="12.75">
      <c r="A1117" s="14"/>
      <c r="B1117" s="72" t="s">
        <v>531</v>
      </c>
      <c r="C1117" s="12"/>
      <c r="D1117" s="12"/>
      <c r="E1117" s="12"/>
      <c r="F1117" s="12"/>
      <c r="G1117" s="311">
        <v>0</v>
      </c>
      <c r="H1117" s="312">
        <v>10</v>
      </c>
      <c r="I1117" s="311">
        <v>10</v>
      </c>
      <c r="J1117" s="312">
        <v>0</v>
      </c>
      <c r="K1117" s="67">
        <v>12</v>
      </c>
      <c r="L1117" s="60">
        <v>12</v>
      </c>
      <c r="N1117" s="425"/>
      <c r="P1117" s="547"/>
      <c r="Q1117" s="398"/>
      <c r="R1117" s="569"/>
      <c r="S1117" s="398"/>
      <c r="T1117" s="569"/>
      <c r="U1117" s="398"/>
      <c r="V1117" s="398"/>
    </row>
    <row r="1118" spans="1:22" ht="12.75">
      <c r="A1118" s="14"/>
      <c r="B1118" s="72" t="s">
        <v>530</v>
      </c>
      <c r="C1118" s="12"/>
      <c r="D1118" s="12"/>
      <c r="E1118" s="12"/>
      <c r="F1118" s="12"/>
      <c r="G1118" s="311">
        <v>0</v>
      </c>
      <c r="H1118" s="312">
        <v>15</v>
      </c>
      <c r="I1118" s="311">
        <v>15</v>
      </c>
      <c r="J1118" s="312">
        <v>0</v>
      </c>
      <c r="K1118" s="67">
        <v>15</v>
      </c>
      <c r="L1118" s="60">
        <v>15</v>
      </c>
      <c r="N1118" s="425"/>
      <c r="P1118" s="547"/>
      <c r="Q1118" s="398"/>
      <c r="R1118" s="569"/>
      <c r="S1118" s="398">
        <v>5</v>
      </c>
      <c r="T1118" s="441">
        <f>SUM(S1118/L1118)*100</f>
        <v>33.33333333333333</v>
      </c>
      <c r="U1118" s="398">
        <v>5</v>
      </c>
      <c r="V1118" s="398"/>
    </row>
    <row r="1119" spans="1:22" ht="12.75">
      <c r="A1119" s="14"/>
      <c r="B1119" s="72" t="s">
        <v>537</v>
      </c>
      <c r="C1119" s="12"/>
      <c r="D1119" s="12"/>
      <c r="E1119" s="12"/>
      <c r="F1119" s="12"/>
      <c r="G1119" s="311">
        <v>4</v>
      </c>
      <c r="H1119" s="312">
        <v>5</v>
      </c>
      <c r="I1119" s="311">
        <v>5</v>
      </c>
      <c r="J1119" s="312">
        <v>0</v>
      </c>
      <c r="K1119" s="67">
        <v>4</v>
      </c>
      <c r="L1119" s="60">
        <v>4</v>
      </c>
      <c r="N1119" s="425"/>
      <c r="P1119" s="547"/>
      <c r="Q1119" s="398"/>
      <c r="R1119" s="569"/>
      <c r="T1119" s="547"/>
      <c r="U1119" s="398"/>
      <c r="V1119" s="398"/>
    </row>
    <row r="1120" spans="1:21" ht="12.75">
      <c r="A1120" s="66">
        <v>642</v>
      </c>
      <c r="B1120" s="199" t="s">
        <v>481</v>
      </c>
      <c r="C1120" s="49"/>
      <c r="D1120" s="12"/>
      <c r="E1120" s="12"/>
      <c r="F1120" s="12"/>
      <c r="G1120" s="288">
        <f>SUM(G1121)</f>
        <v>122</v>
      </c>
      <c r="H1120" s="267">
        <f aca="true" t="shared" si="203" ref="H1120:U1120">H1121</f>
        <v>132</v>
      </c>
      <c r="I1120" s="198">
        <f t="shared" si="203"/>
        <v>132</v>
      </c>
      <c r="J1120" s="267">
        <f t="shared" si="203"/>
        <v>122</v>
      </c>
      <c r="K1120" s="198">
        <f t="shared" si="203"/>
        <v>132</v>
      </c>
      <c r="L1120" s="50">
        <f t="shared" si="203"/>
        <v>132</v>
      </c>
      <c r="M1120" s="199">
        <f t="shared" si="203"/>
        <v>122</v>
      </c>
      <c r="N1120" s="433">
        <f>SUM(M1120/L1120)*100</f>
        <v>92.42424242424242</v>
      </c>
      <c r="O1120" s="197">
        <f t="shared" si="203"/>
        <v>122</v>
      </c>
      <c r="P1120" s="433">
        <f>SUM(O1120/L1120)*100</f>
        <v>92.42424242424242</v>
      </c>
      <c r="Q1120" s="197">
        <f t="shared" si="203"/>
        <v>122</v>
      </c>
      <c r="R1120" s="433">
        <f>SUM(Q1120/L1120)*100</f>
        <v>92.42424242424242</v>
      </c>
      <c r="S1120" s="197">
        <f t="shared" si="203"/>
        <v>122</v>
      </c>
      <c r="T1120" s="433">
        <f>SUM(S1120/L1120)*100</f>
        <v>92.42424242424242</v>
      </c>
      <c r="U1120" s="197">
        <f t="shared" si="203"/>
        <v>122</v>
      </c>
    </row>
    <row r="1121" spans="1:21" ht="12.75">
      <c r="A1121" s="71">
        <v>642006</v>
      </c>
      <c r="B1121" s="23" t="s">
        <v>538</v>
      </c>
      <c r="C1121" s="55"/>
      <c r="D1121" s="12"/>
      <c r="E1121" s="12"/>
      <c r="F1121" s="12"/>
      <c r="G1121" s="284">
        <f aca="true" t="shared" si="204" ref="G1121:M1121">SUM(G1122:G1124)</f>
        <v>122</v>
      </c>
      <c r="H1121" s="55">
        <f t="shared" si="204"/>
        <v>132</v>
      </c>
      <c r="I1121" s="53">
        <f t="shared" si="204"/>
        <v>132</v>
      </c>
      <c r="J1121" s="55">
        <f t="shared" si="204"/>
        <v>122</v>
      </c>
      <c r="K1121" s="53">
        <f t="shared" si="204"/>
        <v>132</v>
      </c>
      <c r="L1121" s="92">
        <f t="shared" si="204"/>
        <v>132</v>
      </c>
      <c r="M1121" s="23">
        <f t="shared" si="204"/>
        <v>122</v>
      </c>
      <c r="N1121" s="430">
        <f>SUM(M1121/L1121)*100</f>
        <v>92.42424242424242</v>
      </c>
      <c r="O1121" s="31">
        <v>122</v>
      </c>
      <c r="P1121" s="430">
        <f>SUM(O1121/L1121)*100</f>
        <v>92.42424242424242</v>
      </c>
      <c r="Q1121" s="31">
        <v>122</v>
      </c>
      <c r="R1121" s="430">
        <f>SUM(Q1121/L1121)*100</f>
        <v>92.42424242424242</v>
      </c>
      <c r="S1121" s="206">
        <f>SUM(S1122:S1124)</f>
        <v>122</v>
      </c>
      <c r="T1121" s="430">
        <f>SUM(S1121/L1121)*100</f>
        <v>92.42424242424242</v>
      </c>
      <c r="U1121" s="206">
        <f>SUM(U1122:U1124)</f>
        <v>122</v>
      </c>
    </row>
    <row r="1122" spans="1:24" ht="12.75">
      <c r="A1122" s="67"/>
      <c r="B1122" s="72" t="s">
        <v>539</v>
      </c>
      <c r="C1122" s="70"/>
      <c r="D1122" s="12"/>
      <c r="E1122" s="12"/>
      <c r="F1122" s="12"/>
      <c r="G1122" s="311">
        <v>0</v>
      </c>
      <c r="H1122" s="12">
        <v>10</v>
      </c>
      <c r="I1122" s="14">
        <v>10</v>
      </c>
      <c r="J1122" s="12">
        <v>0</v>
      </c>
      <c r="K1122" s="67">
        <v>10</v>
      </c>
      <c r="L1122" s="60">
        <v>10</v>
      </c>
      <c r="M1122" s="398"/>
      <c r="N1122" s="441"/>
      <c r="O1122" s="398"/>
      <c r="P1122" s="569"/>
      <c r="Q1122" s="398"/>
      <c r="R1122" s="569"/>
      <c r="S1122" s="398"/>
      <c r="T1122" s="569"/>
      <c r="U1122" s="398"/>
      <c r="V1122" s="398"/>
      <c r="W1122" s="564"/>
      <c r="X1122" s="564"/>
    </row>
    <row r="1123" spans="1:24" ht="12.75">
      <c r="A1123" s="67"/>
      <c r="B1123" s="72" t="s">
        <v>540</v>
      </c>
      <c r="C1123" s="70"/>
      <c r="D1123" s="12"/>
      <c r="E1123" s="12"/>
      <c r="F1123" s="12"/>
      <c r="G1123" s="311">
        <v>15</v>
      </c>
      <c r="H1123" s="12">
        <v>15</v>
      </c>
      <c r="I1123" s="14">
        <v>15</v>
      </c>
      <c r="J1123" s="12">
        <v>15</v>
      </c>
      <c r="K1123" s="67">
        <v>15</v>
      </c>
      <c r="L1123" s="60">
        <v>15</v>
      </c>
      <c r="M1123" s="398">
        <v>15</v>
      </c>
      <c r="N1123" s="441">
        <f>SUM(M1123/L1123)*100</f>
        <v>100</v>
      </c>
      <c r="O1123" s="398">
        <v>15</v>
      </c>
      <c r="P1123" s="441">
        <f>SUM(O1123/L1123)*100</f>
        <v>100</v>
      </c>
      <c r="Q1123" s="398">
        <v>15</v>
      </c>
      <c r="R1123" s="441">
        <f>SUM(Q1123/L1123)*100</f>
        <v>100</v>
      </c>
      <c r="S1123" s="398">
        <v>15</v>
      </c>
      <c r="T1123" s="441">
        <f>SUM(S1123/L1123)*100</f>
        <v>100</v>
      </c>
      <c r="U1123" s="398">
        <v>15</v>
      </c>
      <c r="V1123" s="398"/>
      <c r="W1123" s="564"/>
      <c r="X1123" s="564"/>
    </row>
    <row r="1124" spans="1:24" ht="12.75">
      <c r="A1124" s="67"/>
      <c r="B1124" s="72" t="s">
        <v>541</v>
      </c>
      <c r="C1124" s="70"/>
      <c r="D1124" s="12"/>
      <c r="E1124" s="12"/>
      <c r="F1124" s="12"/>
      <c r="G1124" s="311">
        <v>107</v>
      </c>
      <c r="H1124" s="12">
        <v>107</v>
      </c>
      <c r="I1124" s="14">
        <v>107</v>
      </c>
      <c r="J1124" s="12">
        <v>107</v>
      </c>
      <c r="K1124" s="67">
        <v>107</v>
      </c>
      <c r="L1124" s="60">
        <v>107</v>
      </c>
      <c r="M1124" s="398">
        <v>107</v>
      </c>
      <c r="N1124" s="441">
        <f>SUM(M1124/L1124)*100</f>
        <v>100</v>
      </c>
      <c r="O1124" s="398">
        <v>107</v>
      </c>
      <c r="P1124" s="441">
        <f>SUM(O1124/L1124)*100</f>
        <v>100</v>
      </c>
      <c r="Q1124" s="398">
        <v>107</v>
      </c>
      <c r="R1124" s="441">
        <f>SUM(Q1124/L1124)*100</f>
        <v>100</v>
      </c>
      <c r="S1124" s="398">
        <v>107</v>
      </c>
      <c r="T1124" s="441">
        <f>SUM(S1124/L1124)*100</f>
        <v>100</v>
      </c>
      <c r="U1124" s="398">
        <v>107</v>
      </c>
      <c r="V1124" s="398"/>
      <c r="W1124" s="564"/>
      <c r="X1124" s="564"/>
    </row>
    <row r="1125" spans="1:21" ht="12.75">
      <c r="A1125" s="66">
        <v>644</v>
      </c>
      <c r="B1125" s="199" t="s">
        <v>542</v>
      </c>
      <c r="C1125" s="324"/>
      <c r="D1125" s="237"/>
      <c r="E1125" s="237"/>
      <c r="F1125" s="237"/>
      <c r="G1125" s="288">
        <f>SUM(G1126)</f>
        <v>185</v>
      </c>
      <c r="H1125" s="267">
        <f aca="true" t="shared" si="205" ref="H1125:U1125">H1126</f>
        <v>150</v>
      </c>
      <c r="I1125" s="198">
        <f t="shared" si="205"/>
        <v>150</v>
      </c>
      <c r="J1125" s="267">
        <f t="shared" si="205"/>
        <v>125</v>
      </c>
      <c r="K1125" s="198">
        <f t="shared" si="205"/>
        <v>327</v>
      </c>
      <c r="L1125" s="50">
        <f t="shared" si="205"/>
        <v>327</v>
      </c>
      <c r="M1125" s="199">
        <f t="shared" si="205"/>
        <v>119</v>
      </c>
      <c r="N1125" s="433">
        <f>SUM(M1125/L1125)*100</f>
        <v>36.391437308868504</v>
      </c>
      <c r="O1125" s="197">
        <f t="shared" si="205"/>
        <v>139</v>
      </c>
      <c r="P1125" s="433">
        <f>SUM(O1125/L1125)*100</f>
        <v>42.50764525993883</v>
      </c>
      <c r="Q1125" s="197">
        <f t="shared" si="205"/>
        <v>182</v>
      </c>
      <c r="R1125" s="433">
        <f>SUM(Q1125/L1125)*100</f>
        <v>55.65749235474006</v>
      </c>
      <c r="S1125" s="197">
        <f t="shared" si="205"/>
        <v>182</v>
      </c>
      <c r="T1125" s="433">
        <f>SUM(S1125/L1125)*100</f>
        <v>55.65749235474006</v>
      </c>
      <c r="U1125" s="197">
        <f t="shared" si="205"/>
        <v>202</v>
      </c>
    </row>
    <row r="1126" spans="1:21" ht="12.75">
      <c r="A1126" s="71">
        <v>644001</v>
      </c>
      <c r="B1126" s="23" t="s">
        <v>543</v>
      </c>
      <c r="C1126" s="24"/>
      <c r="D1126" s="24"/>
      <c r="E1126" s="24"/>
      <c r="F1126" s="24"/>
      <c r="G1126" s="284">
        <v>185</v>
      </c>
      <c r="H1126" s="12">
        <v>150</v>
      </c>
      <c r="I1126" s="14">
        <v>150</v>
      </c>
      <c r="J1126" s="12">
        <v>125</v>
      </c>
      <c r="K1126" s="14">
        <v>327</v>
      </c>
      <c r="L1126" s="26">
        <v>327</v>
      </c>
      <c r="M1126" s="31">
        <v>119</v>
      </c>
      <c r="N1126" s="430">
        <f>SUM(M1126/L1126)*100</f>
        <v>36.391437308868504</v>
      </c>
      <c r="O1126" s="31">
        <v>139</v>
      </c>
      <c r="P1126" s="430">
        <f>SUM(O1126/L1126)*100</f>
        <v>42.50764525993883</v>
      </c>
      <c r="Q1126" s="31">
        <v>182</v>
      </c>
      <c r="R1126" s="430">
        <f>SUM(Q1126/L1126)*100</f>
        <v>55.65749235474006</v>
      </c>
      <c r="S1126" s="31">
        <v>182</v>
      </c>
      <c r="T1126" s="430">
        <f>SUM(S1126/L1126)*100</f>
        <v>55.65749235474006</v>
      </c>
      <c r="U1126" s="31">
        <v>202</v>
      </c>
    </row>
    <row r="1127" spans="1:20" ht="12.75">
      <c r="A1127" s="71"/>
      <c r="B1127" s="23"/>
      <c r="C1127" s="24"/>
      <c r="D1127" s="24"/>
      <c r="E1127" s="24"/>
      <c r="F1127" s="24"/>
      <c r="G1127" s="284"/>
      <c r="H1127" s="12"/>
      <c r="I1127" s="14"/>
      <c r="J1127" s="12"/>
      <c r="K1127" s="14"/>
      <c r="L1127" s="26"/>
      <c r="N1127" s="430"/>
      <c r="P1127" s="430"/>
      <c r="R1127" s="430"/>
      <c r="T1127" s="430"/>
    </row>
    <row r="1128" spans="1:22" s="109" customFormat="1" ht="12.75">
      <c r="A1128" s="196"/>
      <c r="B1128" s="394" t="s">
        <v>38</v>
      </c>
      <c r="C1128" s="237"/>
      <c r="D1128" s="237"/>
      <c r="E1128" s="237"/>
      <c r="F1128" s="237"/>
      <c r="G1128" s="196"/>
      <c r="H1128" s="237"/>
      <c r="I1128" s="196"/>
      <c r="J1128" s="237"/>
      <c r="K1128" s="196"/>
      <c r="L1128" s="375"/>
      <c r="M1128" s="121"/>
      <c r="N1128" s="431"/>
      <c r="O1128" s="121"/>
      <c r="P1128" s="550"/>
      <c r="Q1128" s="121"/>
      <c r="R1128" s="550"/>
      <c r="S1128" s="121"/>
      <c r="T1128" s="550"/>
      <c r="U1128" s="121"/>
      <c r="V1128" s="121"/>
    </row>
    <row r="1129" spans="1:22" s="109" customFormat="1" ht="12.75">
      <c r="A1129" s="196"/>
      <c r="B1129" s="394"/>
      <c r="C1129" s="237"/>
      <c r="D1129" s="237"/>
      <c r="E1129" s="237"/>
      <c r="F1129" s="237"/>
      <c r="G1129" s="196"/>
      <c r="H1129" s="237"/>
      <c r="I1129" s="196"/>
      <c r="J1129" s="237"/>
      <c r="K1129" s="196"/>
      <c r="L1129" s="375"/>
      <c r="M1129" s="121"/>
      <c r="N1129" s="431"/>
      <c r="O1129" s="121"/>
      <c r="P1129" s="550"/>
      <c r="Q1129" s="121"/>
      <c r="R1129" s="550"/>
      <c r="S1129" s="121"/>
      <c r="T1129" s="550"/>
      <c r="U1129" s="121"/>
      <c r="V1129" s="121"/>
    </row>
    <row r="1130" spans="1:22" ht="12.75">
      <c r="A1130" s="66">
        <v>713</v>
      </c>
      <c r="B1130" s="199" t="s">
        <v>544</v>
      </c>
      <c r="C1130" s="12"/>
      <c r="D1130" s="12"/>
      <c r="E1130" s="12"/>
      <c r="F1130" s="12"/>
      <c r="G1130" s="66">
        <f aca="true" t="shared" si="206" ref="G1130:L1130">SUM(G1131)</f>
        <v>0</v>
      </c>
      <c r="H1130" s="49">
        <f t="shared" si="206"/>
        <v>0</v>
      </c>
      <c r="I1130" s="66">
        <f t="shared" si="206"/>
        <v>0</v>
      </c>
      <c r="J1130" s="49">
        <f t="shared" si="206"/>
        <v>0</v>
      </c>
      <c r="K1130" s="50">
        <f t="shared" si="206"/>
        <v>1032</v>
      </c>
      <c r="L1130" s="50">
        <f t="shared" si="206"/>
        <v>1282</v>
      </c>
      <c r="N1130" s="425"/>
      <c r="P1130" s="547"/>
      <c r="R1130" s="547"/>
      <c r="S1130" s="399">
        <v>0</v>
      </c>
      <c r="T1130" s="547"/>
      <c r="U1130" s="399">
        <v>0</v>
      </c>
      <c r="V1130" s="399"/>
    </row>
    <row r="1131" spans="1:21" ht="13.5" thickBot="1">
      <c r="A1131" s="21">
        <v>713004</v>
      </c>
      <c r="B1131" s="18" t="s">
        <v>545</v>
      </c>
      <c r="C1131" s="19"/>
      <c r="D1131" s="19"/>
      <c r="E1131" s="19"/>
      <c r="F1131" s="19"/>
      <c r="G1131" s="21">
        <v>0</v>
      </c>
      <c r="H1131" s="19">
        <v>0</v>
      </c>
      <c r="I1131" s="21">
        <v>0</v>
      </c>
      <c r="J1131" s="19">
        <v>0</v>
      </c>
      <c r="K1131" s="27">
        <v>1032</v>
      </c>
      <c r="L1131" s="27">
        <v>1282</v>
      </c>
      <c r="M1131" s="411"/>
      <c r="N1131" s="429"/>
      <c r="O1131" s="411"/>
      <c r="P1131" s="548"/>
      <c r="Q1131" s="411"/>
      <c r="R1131" s="548"/>
      <c r="S1131" s="411">
        <v>0</v>
      </c>
      <c r="T1131" s="548"/>
      <c r="U1131" s="31">
        <v>0</v>
      </c>
    </row>
    <row r="1132" spans="1:12" ht="12.75">
      <c r="A1132" s="12"/>
      <c r="B1132" s="12"/>
      <c r="C1132" s="12"/>
      <c r="D1132" s="12"/>
      <c r="E1132" s="12"/>
      <c r="F1132" s="12"/>
      <c r="G1132" s="12"/>
      <c r="H1132" s="12"/>
      <c r="I1132" s="12"/>
      <c r="J1132" s="12"/>
      <c r="K1132" s="52"/>
      <c r="L1132" s="52"/>
    </row>
    <row r="1133" spans="1:12" ht="12.75">
      <c r="A1133" s="12" t="s">
        <v>812</v>
      </c>
      <c r="B1133" s="12"/>
      <c r="C1133" s="12"/>
      <c r="D1133" s="12"/>
      <c r="E1133" s="12"/>
      <c r="F1133" s="12"/>
      <c r="G1133" s="12"/>
      <c r="H1133" s="12"/>
      <c r="I1133" s="12"/>
      <c r="J1133" s="12"/>
      <c r="K1133" s="52"/>
      <c r="L1133" s="52"/>
    </row>
    <row r="1134" spans="1:12" ht="12.75">
      <c r="A1134" s="12" t="s">
        <v>813</v>
      </c>
      <c r="B1134" s="12"/>
      <c r="C1134" s="12"/>
      <c r="D1134" s="12"/>
      <c r="E1134" s="12"/>
      <c r="F1134" s="12"/>
      <c r="G1134" s="12"/>
      <c r="H1134" s="12"/>
      <c r="I1134" s="12"/>
      <c r="J1134" s="12"/>
      <c r="K1134" s="52"/>
      <c r="L1134" s="52"/>
    </row>
    <row r="1135" spans="1:12" ht="12.75">
      <c r="A1135" s="12" t="s">
        <v>814</v>
      </c>
      <c r="B1135" s="12"/>
      <c r="C1135" s="12"/>
      <c r="D1135" s="12"/>
      <c r="E1135" s="12"/>
      <c r="F1135" s="12"/>
      <c r="G1135" s="12"/>
      <c r="H1135" s="12"/>
      <c r="I1135" s="12"/>
      <c r="J1135" s="12"/>
      <c r="K1135" s="52"/>
      <c r="L1135" s="52"/>
    </row>
    <row r="1136" spans="1:12" ht="12.75">
      <c r="A1136" s="55" t="s">
        <v>817</v>
      </c>
      <c r="B1136" s="12"/>
      <c r="C1136" s="12"/>
      <c r="D1136" s="12"/>
      <c r="E1136" s="12"/>
      <c r="F1136" s="12"/>
      <c r="G1136" s="12"/>
      <c r="H1136" s="12"/>
      <c r="I1136" s="12"/>
      <c r="J1136" s="12"/>
      <c r="K1136" s="52"/>
      <c r="L1136" s="52"/>
    </row>
    <row r="1137" spans="1:12" ht="12.75">
      <c r="A1137" s="12" t="s">
        <v>815</v>
      </c>
      <c r="B1137" s="12"/>
      <c r="C1137" s="12"/>
      <c r="D1137" s="12"/>
      <c r="E1137" s="12"/>
      <c r="F1137" s="12"/>
      <c r="G1137" s="12"/>
      <c r="H1137" s="12"/>
      <c r="I1137" s="12"/>
      <c r="J1137" s="12"/>
      <c r="K1137" s="52"/>
      <c r="L1137" s="52"/>
    </row>
    <row r="1138" spans="1:12" ht="12.75">
      <c r="A1138" s="12" t="s">
        <v>816</v>
      </c>
      <c r="B1138" s="12"/>
      <c r="C1138" s="12"/>
      <c r="D1138" s="12"/>
      <c r="E1138" s="12"/>
      <c r="F1138" s="12"/>
      <c r="G1138" s="12"/>
      <c r="H1138" s="12"/>
      <c r="I1138" s="12"/>
      <c r="J1138" s="12"/>
      <c r="K1138" s="52"/>
      <c r="L1138" s="52"/>
    </row>
    <row r="1139" spans="1:12" ht="12.75">
      <c r="A1139" s="12" t="s">
        <v>818</v>
      </c>
      <c r="B1139" s="12"/>
      <c r="C1139" s="12"/>
      <c r="D1139" s="12"/>
      <c r="E1139" s="12"/>
      <c r="F1139" s="12"/>
      <c r="G1139" s="12"/>
      <c r="H1139" s="12"/>
      <c r="I1139" s="12"/>
      <c r="J1139" s="12"/>
      <c r="K1139" s="52"/>
      <c r="L1139" s="52"/>
    </row>
    <row r="1140" spans="1:12" ht="12.75">
      <c r="A1140" s="12" t="s">
        <v>819</v>
      </c>
      <c r="B1140" s="12"/>
      <c r="C1140" s="12"/>
      <c r="D1140" s="12"/>
      <c r="E1140" s="12"/>
      <c r="F1140" s="12"/>
      <c r="G1140" s="12"/>
      <c r="H1140" s="12"/>
      <c r="I1140" s="12"/>
      <c r="J1140" s="12"/>
      <c r="K1140" s="52"/>
      <c r="L1140" s="52"/>
    </row>
    <row r="1141" spans="1:12" ht="12.75">
      <c r="A1141" s="55" t="s">
        <v>821</v>
      </c>
      <c r="B1141" s="12"/>
      <c r="C1141" s="12"/>
      <c r="D1141" s="12"/>
      <c r="E1141" s="12"/>
      <c r="F1141" s="12"/>
      <c r="G1141" s="12"/>
      <c r="H1141" s="12"/>
      <c r="I1141" s="12"/>
      <c r="J1141" s="12"/>
      <c r="K1141" s="52"/>
      <c r="L1141" s="52"/>
    </row>
    <row r="1142" spans="1:12" ht="12.75">
      <c r="A1142" s="12" t="s">
        <v>820</v>
      </c>
      <c r="B1142" s="12"/>
      <c r="C1142" s="12"/>
      <c r="D1142" s="12"/>
      <c r="E1142" s="12"/>
      <c r="F1142" s="12"/>
      <c r="G1142" s="12"/>
      <c r="H1142" s="12"/>
      <c r="I1142" s="12"/>
      <c r="J1142" s="12"/>
      <c r="K1142" s="52"/>
      <c r="L1142" s="52"/>
    </row>
    <row r="1143" spans="1:12" ht="12.75">
      <c r="A1143" s="55" t="s">
        <v>882</v>
      </c>
      <c r="B1143" s="12"/>
      <c r="C1143" s="12"/>
      <c r="D1143" s="12"/>
      <c r="E1143" s="12"/>
      <c r="F1143" s="12"/>
      <c r="G1143" s="12"/>
      <c r="H1143" s="12"/>
      <c r="I1143" s="12"/>
      <c r="J1143" s="12"/>
      <c r="K1143" s="52"/>
      <c r="L1143" s="52"/>
    </row>
    <row r="1144" spans="1:12" ht="12.75">
      <c r="A1144" s="55" t="s">
        <v>935</v>
      </c>
      <c r="B1144" s="12"/>
      <c r="C1144" s="12"/>
      <c r="D1144" s="12"/>
      <c r="E1144" s="12"/>
      <c r="F1144" s="12"/>
      <c r="G1144" s="12"/>
      <c r="H1144" s="12"/>
      <c r="I1144" s="12"/>
      <c r="J1144" s="12"/>
      <c r="K1144" s="52"/>
      <c r="L1144" s="52"/>
    </row>
    <row r="1150" spans="1:11" ht="15.75">
      <c r="A1150" s="325" t="s">
        <v>546</v>
      </c>
      <c r="B1150" s="1"/>
      <c r="C1150" s="1"/>
      <c r="G1150" s="162"/>
      <c r="I1150" s="12"/>
      <c r="J1150" s="12"/>
      <c r="K1150" s="12"/>
    </row>
    <row r="1151" spans="1:11" ht="16.5" thickBot="1">
      <c r="A1151" s="1"/>
      <c r="B1151" s="1"/>
      <c r="C1151" s="1"/>
      <c r="G1151" s="162"/>
      <c r="I1151" s="12"/>
      <c r="J1151" s="12"/>
      <c r="K1151" s="12"/>
    </row>
    <row r="1152" spans="1:22" ht="13.5" thickBot="1">
      <c r="A1152" s="177" t="s">
        <v>44</v>
      </c>
      <c r="B1152" s="178"/>
      <c r="C1152" s="178"/>
      <c r="D1152" s="179"/>
      <c r="E1152" s="179"/>
      <c r="F1152" s="179"/>
      <c r="G1152" s="15" t="s">
        <v>23</v>
      </c>
      <c r="H1152" s="136"/>
      <c r="I1152" s="137" t="s">
        <v>395</v>
      </c>
      <c r="J1152" s="216"/>
      <c r="K1152" s="10" t="s">
        <v>25</v>
      </c>
      <c r="L1152" s="238" t="s">
        <v>645</v>
      </c>
      <c r="M1152" s="403" t="s">
        <v>296</v>
      </c>
      <c r="N1152" s="426" t="s">
        <v>684</v>
      </c>
      <c r="O1152" s="403" t="s">
        <v>296</v>
      </c>
      <c r="P1152" s="426" t="s">
        <v>683</v>
      </c>
      <c r="Q1152" s="403" t="s">
        <v>296</v>
      </c>
      <c r="R1152" s="426" t="s">
        <v>681</v>
      </c>
      <c r="S1152" s="403" t="s">
        <v>296</v>
      </c>
      <c r="T1152" s="421" t="s">
        <v>681</v>
      </c>
      <c r="U1152" s="403" t="s">
        <v>296</v>
      </c>
      <c r="V1152" s="421" t="s">
        <v>681</v>
      </c>
    </row>
    <row r="1153" spans="1:22" ht="16.5" thickTop="1">
      <c r="A1153" s="239" t="s">
        <v>182</v>
      </c>
      <c r="B1153" s="181" t="s">
        <v>183</v>
      </c>
      <c r="C1153" s="182"/>
      <c r="D1153" s="12"/>
      <c r="E1153" s="12"/>
      <c r="F1153" s="12"/>
      <c r="G1153" s="11" t="s">
        <v>45</v>
      </c>
      <c r="H1153" s="32" t="s">
        <v>27</v>
      </c>
      <c r="I1153" s="6" t="s">
        <v>92</v>
      </c>
      <c r="J1153" s="108" t="s">
        <v>29</v>
      </c>
      <c r="K1153" s="33" t="s">
        <v>46</v>
      </c>
      <c r="L1153" s="208"/>
      <c r="M1153" s="25" t="s">
        <v>297</v>
      </c>
      <c r="N1153" s="425"/>
      <c r="O1153" s="25" t="s">
        <v>750</v>
      </c>
      <c r="P1153" s="547"/>
      <c r="Q1153" s="25" t="s">
        <v>896</v>
      </c>
      <c r="R1153" s="547"/>
      <c r="S1153" s="25" t="s">
        <v>957</v>
      </c>
      <c r="T1153" s="422"/>
      <c r="U1153" s="25" t="s">
        <v>252</v>
      </c>
      <c r="V1153" s="422"/>
    </row>
    <row r="1154" spans="1:22" ht="13.5" thickBot="1">
      <c r="A1154" s="183"/>
      <c r="B1154" s="184"/>
      <c r="C1154" s="185"/>
      <c r="D1154" s="37"/>
      <c r="E1154" s="37"/>
      <c r="F1154" s="37"/>
      <c r="G1154" s="83"/>
      <c r="H1154" s="84">
        <v>38335</v>
      </c>
      <c r="I1154" s="148">
        <v>38587</v>
      </c>
      <c r="J1154" s="110" t="s">
        <v>31</v>
      </c>
      <c r="K1154" s="33" t="s">
        <v>32</v>
      </c>
      <c r="L1154" s="242"/>
      <c r="M1154" s="404"/>
      <c r="N1154" s="429"/>
      <c r="O1154" s="404"/>
      <c r="P1154" s="548"/>
      <c r="Q1154" s="404"/>
      <c r="R1154" s="548"/>
      <c r="S1154" s="404"/>
      <c r="T1154" s="423"/>
      <c r="U1154" s="404"/>
      <c r="V1154" s="423"/>
    </row>
    <row r="1155" spans="1:20" ht="13.5" thickBot="1">
      <c r="A1155" s="186" t="s">
        <v>47</v>
      </c>
      <c r="B1155" s="187"/>
      <c r="C1155" s="39"/>
      <c r="D1155" s="188" t="s">
        <v>48</v>
      </c>
      <c r="E1155" s="19"/>
      <c r="F1155" s="19"/>
      <c r="G1155" s="152">
        <v>1</v>
      </c>
      <c r="H1155" s="41">
        <v>2</v>
      </c>
      <c r="I1155" s="188">
        <v>3</v>
      </c>
      <c r="J1155" s="22">
        <v>4</v>
      </c>
      <c r="K1155" s="40">
        <v>1</v>
      </c>
      <c r="L1155" s="599">
        <v>1</v>
      </c>
      <c r="M1155" s="409"/>
      <c r="N1155" s="424"/>
      <c r="P1155" s="547"/>
      <c r="R1155" s="556"/>
      <c r="T1155" s="556"/>
    </row>
    <row r="1156" spans="1:21" ht="15">
      <c r="A1156" s="445"/>
      <c r="B1156" s="445" t="s">
        <v>228</v>
      </c>
      <c r="C1156" s="372"/>
      <c r="D1156" s="373"/>
      <c r="E1156" s="373"/>
      <c r="F1156" s="446"/>
      <c r="G1156" s="390">
        <f>G1160+G1169</f>
        <v>38512</v>
      </c>
      <c r="H1156" s="391" t="e">
        <f aca="true" t="shared" si="207" ref="H1156:U1156">H1160+H1169+H1158</f>
        <v>#REF!</v>
      </c>
      <c r="I1156" s="390" t="e">
        <f t="shared" si="207"/>
        <v>#REF!</v>
      </c>
      <c r="J1156" s="390" t="e">
        <f t="shared" si="207"/>
        <v>#REF!</v>
      </c>
      <c r="K1156" s="390" t="e">
        <f t="shared" si="207"/>
        <v>#REF!</v>
      </c>
      <c r="L1156" s="390">
        <f t="shared" si="207"/>
        <v>43619</v>
      </c>
      <c r="M1156" s="392">
        <f t="shared" si="207"/>
        <v>4430</v>
      </c>
      <c r="N1156" s="440">
        <f>SUM(M1156/L1156)*100</f>
        <v>10.156124624590202</v>
      </c>
      <c r="O1156" s="392">
        <f t="shared" si="207"/>
        <v>6635</v>
      </c>
      <c r="P1156" s="440">
        <f>SUM(O1156/L1156)*100</f>
        <v>15.21126114766501</v>
      </c>
      <c r="Q1156" s="392">
        <f t="shared" si="207"/>
        <v>13326</v>
      </c>
      <c r="R1156" s="567">
        <f>SUM(Q1156/L1156)*100</f>
        <v>30.55090671496366</v>
      </c>
      <c r="S1156" s="392">
        <f t="shared" si="207"/>
        <v>13655</v>
      </c>
      <c r="T1156" s="567">
        <f>SUM(S1156/L1156)*100</f>
        <v>31.305165180311334</v>
      </c>
      <c r="U1156" s="392">
        <f t="shared" si="207"/>
        <v>18390</v>
      </c>
    </row>
    <row r="1157" spans="1:20" ht="12.75">
      <c r="A1157" s="11"/>
      <c r="B1157" s="11"/>
      <c r="C1157" s="12"/>
      <c r="D1157" s="12"/>
      <c r="E1157" s="12"/>
      <c r="F1157" s="13"/>
      <c r="G1157" s="284"/>
      <c r="H1157" s="52"/>
      <c r="I1157" s="14"/>
      <c r="J1157" s="14"/>
      <c r="K1157" s="14"/>
      <c r="L1157" s="26"/>
      <c r="N1157" s="425"/>
      <c r="P1157" s="547"/>
      <c r="R1157" s="547"/>
      <c r="T1157" s="547"/>
    </row>
    <row r="1158" spans="1:20" ht="12.75">
      <c r="A1158" s="199">
        <v>633</v>
      </c>
      <c r="B1158" s="199" t="s">
        <v>245</v>
      </c>
      <c r="C1158" s="49"/>
      <c r="D1158" s="49"/>
      <c r="E1158" s="49"/>
      <c r="F1158" s="48"/>
      <c r="G1158" s="302">
        <v>0</v>
      </c>
      <c r="H1158" s="51" t="e">
        <f>SUM(#REF!)</f>
        <v>#REF!</v>
      </c>
      <c r="I1158" s="50" t="e">
        <f>SUM(#REF!)</f>
        <v>#REF!</v>
      </c>
      <c r="J1158" s="50" t="e">
        <f>SUM(#REF!)</f>
        <v>#REF!</v>
      </c>
      <c r="K1158" s="50" t="e">
        <f>SUM(#REF!)</f>
        <v>#REF!</v>
      </c>
      <c r="L1158" s="50">
        <v>0</v>
      </c>
      <c r="N1158" s="425"/>
      <c r="P1158" s="547"/>
      <c r="R1158" s="547"/>
      <c r="S1158" s="399">
        <v>0</v>
      </c>
      <c r="T1158" s="547"/>
    </row>
    <row r="1159" spans="1:20" ht="12.75">
      <c r="A1159" s="11"/>
      <c r="B1159" s="11"/>
      <c r="C1159" s="12"/>
      <c r="D1159" s="12"/>
      <c r="E1159" s="12"/>
      <c r="F1159" s="13"/>
      <c r="G1159" s="284"/>
      <c r="H1159" s="52"/>
      <c r="I1159" s="14"/>
      <c r="J1159" s="14"/>
      <c r="K1159" s="14"/>
      <c r="L1159" s="26"/>
      <c r="N1159" s="425"/>
      <c r="P1159" s="547"/>
      <c r="R1159" s="547"/>
      <c r="T1159" s="547"/>
    </row>
    <row r="1160" spans="1:21" ht="12.75">
      <c r="A1160" s="199">
        <v>637</v>
      </c>
      <c r="B1160" s="199" t="s">
        <v>288</v>
      </c>
      <c r="C1160" s="49"/>
      <c r="D1160" s="12"/>
      <c r="E1160" s="12"/>
      <c r="F1160" s="13"/>
      <c r="G1160" s="193">
        <f>G1162</f>
        <v>38366</v>
      </c>
      <c r="H1160" s="194">
        <f>H1162++H1161</f>
        <v>39636</v>
      </c>
      <c r="I1160" s="193">
        <f>I1162+I1161</f>
        <v>40095</v>
      </c>
      <c r="J1160" s="193">
        <f>J1162+J1161</f>
        <v>14495</v>
      </c>
      <c r="K1160" s="193">
        <f>K1162+K1161</f>
        <v>43293</v>
      </c>
      <c r="L1160" s="50">
        <f>L1162+L1161</f>
        <v>43471</v>
      </c>
      <c r="M1160" s="197">
        <f>M1162+M1161</f>
        <v>4430</v>
      </c>
      <c r="N1160" s="433">
        <f>SUM(M1160/L1160)*100</f>
        <v>10.190701847208484</v>
      </c>
      <c r="O1160" s="197">
        <f>O1162+O1161</f>
        <v>6635</v>
      </c>
      <c r="P1160" s="433">
        <f>SUM(O1160/L1160)*100</f>
        <v>15.263048929171172</v>
      </c>
      <c r="Q1160" s="197">
        <f>Q1162+Q1161</f>
        <v>13326</v>
      </c>
      <c r="R1160" s="433">
        <f>SUM(Q1160/L1160)*100</f>
        <v>30.654919371535044</v>
      </c>
      <c r="S1160" s="197">
        <f>S1162+S1161</f>
        <v>13655</v>
      </c>
      <c r="T1160" s="433">
        <f>SUM(S1160/L1160)*100</f>
        <v>31.411745761542175</v>
      </c>
      <c r="U1160" s="197">
        <f>U1162+U1161</f>
        <v>18390</v>
      </c>
    </row>
    <row r="1161" spans="1:20" ht="12.75">
      <c r="A1161" s="23">
        <v>637003</v>
      </c>
      <c r="B1161" s="23" t="s">
        <v>290</v>
      </c>
      <c r="C1161" s="24"/>
      <c r="D1161" s="24"/>
      <c r="E1161" s="24"/>
      <c r="F1161" s="58"/>
      <c r="G1161" s="56">
        <v>0</v>
      </c>
      <c r="H1161" s="57">
        <v>0</v>
      </c>
      <c r="I1161" s="71">
        <v>20</v>
      </c>
      <c r="J1161" s="71">
        <v>0</v>
      </c>
      <c r="K1161" s="71">
        <v>0</v>
      </c>
      <c r="L1161" s="92">
        <v>0</v>
      </c>
      <c r="N1161" s="425"/>
      <c r="P1161" s="547"/>
      <c r="R1161" s="547"/>
      <c r="T1161" s="547"/>
    </row>
    <row r="1162" spans="1:21" ht="12.75">
      <c r="A1162" s="23">
        <v>637004</v>
      </c>
      <c r="B1162" s="23" t="s">
        <v>291</v>
      </c>
      <c r="C1162" s="49"/>
      <c r="D1162" s="12"/>
      <c r="E1162" s="12"/>
      <c r="F1162" s="13"/>
      <c r="G1162" s="56">
        <f aca="true" t="shared" si="208" ref="G1162:U1162">SUM(G1163:G1167)</f>
        <v>38366</v>
      </c>
      <c r="H1162" s="57">
        <f t="shared" si="208"/>
        <v>39636</v>
      </c>
      <c r="I1162" s="56">
        <f t="shared" si="208"/>
        <v>40075</v>
      </c>
      <c r="J1162" s="56">
        <f t="shared" si="208"/>
        <v>14495</v>
      </c>
      <c r="K1162" s="56">
        <f t="shared" si="208"/>
        <v>43293</v>
      </c>
      <c r="L1162" s="92">
        <f t="shared" si="208"/>
        <v>43471</v>
      </c>
      <c r="M1162" s="206">
        <f t="shared" si="208"/>
        <v>4430</v>
      </c>
      <c r="N1162" s="430">
        <f>SUM(M1162/L1162)*100</f>
        <v>10.190701847208484</v>
      </c>
      <c r="O1162" s="206">
        <f t="shared" si="208"/>
        <v>6635</v>
      </c>
      <c r="P1162" s="430">
        <f>SUM(O1162/L1162)*100</f>
        <v>15.263048929171172</v>
      </c>
      <c r="Q1162" s="206">
        <f t="shared" si="208"/>
        <v>13326</v>
      </c>
      <c r="R1162" s="430">
        <f>SUM(Q1162/L1162)*100</f>
        <v>30.654919371535044</v>
      </c>
      <c r="S1162" s="206">
        <f t="shared" si="208"/>
        <v>13655</v>
      </c>
      <c r="T1162" s="430">
        <f>SUM(S1162/L1162)*100</f>
        <v>31.411745761542175</v>
      </c>
      <c r="U1162" s="206">
        <f t="shared" si="208"/>
        <v>18390</v>
      </c>
    </row>
    <row r="1163" spans="1:22" ht="12.75">
      <c r="A1163" s="11"/>
      <c r="B1163" s="205" t="s">
        <v>547</v>
      </c>
      <c r="C1163" s="203"/>
      <c r="D1163" s="70"/>
      <c r="E1163" s="70"/>
      <c r="F1163" s="68"/>
      <c r="G1163" s="311">
        <v>5857</v>
      </c>
      <c r="H1163" s="59">
        <v>5857</v>
      </c>
      <c r="I1163" s="60">
        <v>6296</v>
      </c>
      <c r="J1163" s="60">
        <v>2659</v>
      </c>
      <c r="K1163" s="26">
        <v>6296</v>
      </c>
      <c r="L1163" s="94">
        <v>6466</v>
      </c>
      <c r="M1163" s="562"/>
      <c r="N1163" s="563"/>
      <c r="O1163" s="397"/>
      <c r="P1163" s="554"/>
      <c r="Q1163" s="562">
        <v>959</v>
      </c>
      <c r="R1163" s="563">
        <f>SUM(Q1163/L1163)*100</f>
        <v>14.831425920197958</v>
      </c>
      <c r="S1163" s="562">
        <v>1255</v>
      </c>
      <c r="T1163" s="563">
        <f>SUM(S1163/L1163)*100</f>
        <v>19.409217445097433</v>
      </c>
      <c r="U1163" s="562">
        <v>1643</v>
      </c>
      <c r="V1163" s="562"/>
    </row>
    <row r="1164" spans="1:22" ht="12.75">
      <c r="A1164" s="93"/>
      <c r="B1164" s="205" t="s">
        <v>548</v>
      </c>
      <c r="C1164" s="203"/>
      <c r="D1164" s="70"/>
      <c r="E1164" s="70"/>
      <c r="F1164" s="68"/>
      <c r="G1164" s="311">
        <v>50</v>
      </c>
      <c r="H1164" s="59">
        <v>0</v>
      </c>
      <c r="I1164" s="67">
        <v>0</v>
      </c>
      <c r="J1164" s="67">
        <v>0</v>
      </c>
      <c r="K1164" s="14">
        <v>0</v>
      </c>
      <c r="L1164" s="94">
        <v>0</v>
      </c>
      <c r="M1164" s="562"/>
      <c r="N1164" s="563"/>
      <c r="O1164" s="397"/>
      <c r="P1164" s="554"/>
      <c r="Q1164" s="562"/>
      <c r="R1164" s="565"/>
      <c r="S1164" s="562"/>
      <c r="T1164" s="565"/>
      <c r="U1164" s="562"/>
      <c r="V1164" s="562"/>
    </row>
    <row r="1165" spans="1:22" ht="12.75">
      <c r="A1165" s="93"/>
      <c r="B1165" s="205" t="s">
        <v>549</v>
      </c>
      <c r="C1165" s="203"/>
      <c r="D1165" s="70"/>
      <c r="E1165" s="70"/>
      <c r="F1165" s="68"/>
      <c r="G1165" s="311">
        <v>1139</v>
      </c>
      <c r="H1165" s="59">
        <v>700</v>
      </c>
      <c r="I1165" s="67">
        <v>700</v>
      </c>
      <c r="J1165" s="67">
        <v>295</v>
      </c>
      <c r="K1165" s="67">
        <v>500</v>
      </c>
      <c r="L1165" s="94">
        <v>500</v>
      </c>
      <c r="M1165" s="562">
        <v>39</v>
      </c>
      <c r="N1165" s="563">
        <f>SUM(M1165/L1165)*100</f>
        <v>7.8</v>
      </c>
      <c r="O1165" s="397">
        <v>39</v>
      </c>
      <c r="P1165" s="563">
        <f>SUM(O1165/L1165)*100</f>
        <v>7.8</v>
      </c>
      <c r="Q1165" s="562">
        <v>39</v>
      </c>
      <c r="R1165" s="563">
        <f>SUM(Q1165/L1165)*100</f>
        <v>7.8</v>
      </c>
      <c r="S1165" s="562">
        <v>39</v>
      </c>
      <c r="T1165" s="563">
        <f>SUM(S1165/L1165)*100</f>
        <v>7.8</v>
      </c>
      <c r="U1165" s="562">
        <v>39</v>
      </c>
      <c r="V1165" s="562"/>
    </row>
    <row r="1166" spans="1:22" ht="12.75">
      <c r="A1166" s="93"/>
      <c r="B1166" s="205" t="s">
        <v>550</v>
      </c>
      <c r="C1166" s="203"/>
      <c r="D1166" s="70"/>
      <c r="E1166" s="70"/>
      <c r="F1166" s="68"/>
      <c r="G1166" s="311">
        <v>31149</v>
      </c>
      <c r="H1166" s="59">
        <v>33079</v>
      </c>
      <c r="I1166" s="60">
        <v>33079</v>
      </c>
      <c r="J1166" s="60">
        <v>11541</v>
      </c>
      <c r="K1166" s="26">
        <v>36497</v>
      </c>
      <c r="L1166" s="94">
        <v>36505</v>
      </c>
      <c r="M1166" s="562">
        <v>4391</v>
      </c>
      <c r="N1166" s="563">
        <f>SUM(M1166/L1166)*100</f>
        <v>12.028489248048214</v>
      </c>
      <c r="O1166" s="397">
        <v>6596</v>
      </c>
      <c r="P1166" s="563">
        <f>SUM(O1166/L1166)*100</f>
        <v>18.06875770442405</v>
      </c>
      <c r="Q1166" s="562">
        <v>12328</v>
      </c>
      <c r="R1166" s="565"/>
      <c r="S1166" s="562">
        <v>12361</v>
      </c>
      <c r="T1166" s="563">
        <f>SUM(S1166/L1166)*100</f>
        <v>33.861114915764965</v>
      </c>
      <c r="U1166" s="562">
        <v>16708</v>
      </c>
      <c r="V1166" s="562"/>
    </row>
    <row r="1167" spans="1:20" ht="12.75">
      <c r="A1167" s="93"/>
      <c r="B1167" s="205" t="s">
        <v>551</v>
      </c>
      <c r="C1167" s="203"/>
      <c r="D1167" s="70"/>
      <c r="E1167" s="70"/>
      <c r="F1167" s="68"/>
      <c r="G1167" s="311">
        <v>171</v>
      </c>
      <c r="H1167" s="59">
        <v>0</v>
      </c>
      <c r="I1167" s="60">
        <v>0</v>
      </c>
      <c r="J1167" s="60">
        <v>0</v>
      </c>
      <c r="K1167" s="14">
        <v>0</v>
      </c>
      <c r="L1167" s="94">
        <v>0</v>
      </c>
      <c r="M1167" s="562"/>
      <c r="N1167" s="563"/>
      <c r="O1167" s="397"/>
      <c r="P1167" s="554"/>
      <c r="Q1167" s="562"/>
      <c r="R1167" s="565"/>
      <c r="T1167" s="547"/>
    </row>
    <row r="1168" spans="1:20" ht="12.75">
      <c r="A1168" s="11"/>
      <c r="B1168" s="11"/>
      <c r="C1168" s="12"/>
      <c r="D1168" s="12"/>
      <c r="E1168" s="12"/>
      <c r="F1168" s="13"/>
      <c r="G1168" s="284"/>
      <c r="H1168" s="52"/>
      <c r="I1168" s="14"/>
      <c r="J1168" s="14"/>
      <c r="K1168" s="14"/>
      <c r="L1168" s="26"/>
      <c r="N1168" s="425"/>
      <c r="P1168" s="547"/>
      <c r="R1168" s="547"/>
      <c r="T1168" s="547"/>
    </row>
    <row r="1169" spans="1:22" s="131" customFormat="1" ht="12.75">
      <c r="A1169" s="199">
        <v>642</v>
      </c>
      <c r="B1169" s="199" t="s">
        <v>509</v>
      </c>
      <c r="C1169" s="49"/>
      <c r="D1169" s="49"/>
      <c r="E1169" s="49"/>
      <c r="F1169" s="48"/>
      <c r="G1169" s="50">
        <f>SUM(G1170:G1171)</f>
        <v>146</v>
      </c>
      <c r="H1169" s="51">
        <f>SUM(H1170)</f>
        <v>70</v>
      </c>
      <c r="I1169" s="50">
        <f>SUM(I1170)</f>
        <v>120</v>
      </c>
      <c r="J1169" s="50">
        <f>SUM(J1170)</f>
        <v>0</v>
      </c>
      <c r="K1169" s="50">
        <f>SUM(K1170)</f>
        <v>0</v>
      </c>
      <c r="L1169" s="50">
        <f>SUM(L1170)</f>
        <v>148</v>
      </c>
      <c r="M1169" s="389"/>
      <c r="N1169" s="433">
        <f>SUM(M1169/L1169)*100</f>
        <v>0</v>
      </c>
      <c r="O1169" s="389"/>
      <c r="P1169" s="549"/>
      <c r="Q1169" s="389"/>
      <c r="R1169" s="549"/>
      <c r="S1169" s="399">
        <v>0</v>
      </c>
      <c r="T1169" s="549"/>
      <c r="U1169" s="389"/>
      <c r="V1169" s="389"/>
    </row>
    <row r="1170" spans="1:20" ht="12.75">
      <c r="A1170" s="93">
        <v>642002</v>
      </c>
      <c r="B1170" s="23" t="s">
        <v>552</v>
      </c>
      <c r="C1170" s="55"/>
      <c r="D1170" s="12"/>
      <c r="E1170" s="12"/>
      <c r="F1170" s="13"/>
      <c r="G1170" s="284">
        <v>25</v>
      </c>
      <c r="H1170" s="52">
        <v>70</v>
      </c>
      <c r="I1170" s="14">
        <v>120</v>
      </c>
      <c r="J1170" s="14">
        <v>0</v>
      </c>
      <c r="K1170" s="14">
        <v>0</v>
      </c>
      <c r="L1170" s="26">
        <v>148</v>
      </c>
      <c r="N1170" s="430">
        <f>SUM(M1170/L1170)*100</f>
        <v>0</v>
      </c>
      <c r="P1170" s="547"/>
      <c r="R1170" s="547"/>
      <c r="T1170" s="547"/>
    </row>
    <row r="1171" spans="1:20" ht="12.75">
      <c r="A1171" s="11"/>
      <c r="B1171" s="11" t="s">
        <v>761</v>
      </c>
      <c r="C1171" s="12"/>
      <c r="D1171" s="12"/>
      <c r="E1171" s="12"/>
      <c r="F1171" s="13"/>
      <c r="G1171" s="14">
        <v>121</v>
      </c>
      <c r="H1171" s="12"/>
      <c r="I1171" s="14"/>
      <c r="J1171" s="14"/>
      <c r="K1171" s="14"/>
      <c r="L1171" s="26">
        <v>53</v>
      </c>
      <c r="M1171" s="416"/>
      <c r="N1171" s="425"/>
      <c r="O1171" s="416"/>
      <c r="P1171" s="547"/>
      <c r="Q1171" s="416"/>
      <c r="R1171" s="547"/>
      <c r="T1171" s="547"/>
    </row>
    <row r="1172" spans="1:20" ht="12.75">
      <c r="A1172" s="14"/>
      <c r="B1172" s="12" t="s">
        <v>921</v>
      </c>
      <c r="C1172" s="12"/>
      <c r="D1172" s="12"/>
      <c r="E1172" s="12"/>
      <c r="F1172" s="12"/>
      <c r="G1172" s="12"/>
      <c r="H1172" s="12"/>
      <c r="I1172" s="12"/>
      <c r="J1172" s="12"/>
      <c r="K1172" s="12"/>
      <c r="L1172" s="26">
        <v>25</v>
      </c>
      <c r="M1172" s="52"/>
      <c r="N1172" s="428"/>
      <c r="O1172" s="52"/>
      <c r="P1172" s="12"/>
      <c r="Q1172" s="52"/>
      <c r="R1172" s="547"/>
      <c r="T1172" s="547"/>
    </row>
    <row r="1173" spans="1:20" ht="13.5" thickBot="1">
      <c r="A1173" s="21"/>
      <c r="B1173" s="12" t="s">
        <v>922</v>
      </c>
      <c r="C1173" s="12"/>
      <c r="D1173" s="12"/>
      <c r="E1173" s="12"/>
      <c r="F1173" s="12"/>
      <c r="G1173" s="12"/>
      <c r="H1173" s="12"/>
      <c r="I1173" s="12"/>
      <c r="J1173" s="12"/>
      <c r="K1173" s="12"/>
      <c r="L1173" s="27">
        <v>70</v>
      </c>
      <c r="M1173" s="52"/>
      <c r="N1173" s="428"/>
      <c r="O1173" s="52"/>
      <c r="P1173" s="12"/>
      <c r="Q1173" s="52"/>
      <c r="R1173" s="548"/>
      <c r="S1173" s="411"/>
      <c r="T1173" s="548"/>
    </row>
    <row r="1174" spans="1:18" ht="12.75">
      <c r="A1174" s="4"/>
      <c r="B1174" s="4"/>
      <c r="C1174" s="4"/>
      <c r="D1174" s="4"/>
      <c r="E1174" s="4"/>
      <c r="F1174" s="4"/>
      <c r="G1174" s="4"/>
      <c r="H1174" s="4"/>
      <c r="I1174" s="4"/>
      <c r="J1174" s="4"/>
      <c r="K1174" s="4"/>
      <c r="L1174" s="419"/>
      <c r="M1174" s="419"/>
      <c r="N1174" s="490"/>
      <c r="O1174" s="419"/>
      <c r="P1174" s="4"/>
      <c r="Q1174" s="419"/>
      <c r="R1174" s="4"/>
    </row>
    <row r="1175" ht="12.75">
      <c r="A1175" t="s">
        <v>609</v>
      </c>
    </row>
    <row r="1176" ht="13.5" thickBot="1"/>
    <row r="1177" spans="1:22" ht="13.5" thickBot="1">
      <c r="A1177" s="177" t="s">
        <v>44</v>
      </c>
      <c r="B1177" s="178"/>
      <c r="C1177" s="178"/>
      <c r="D1177" s="179"/>
      <c r="E1177" s="179"/>
      <c r="F1177" s="179"/>
      <c r="G1177" s="15" t="s">
        <v>23</v>
      </c>
      <c r="H1177" s="136"/>
      <c r="I1177" s="137" t="s">
        <v>395</v>
      </c>
      <c r="J1177" s="216"/>
      <c r="K1177" s="10" t="s">
        <v>25</v>
      </c>
      <c r="L1177" s="238" t="s">
        <v>645</v>
      </c>
      <c r="M1177" s="403" t="s">
        <v>296</v>
      </c>
      <c r="N1177" s="426" t="s">
        <v>684</v>
      </c>
      <c r="O1177" s="403" t="s">
        <v>296</v>
      </c>
      <c r="P1177" s="426" t="s">
        <v>683</v>
      </c>
      <c r="Q1177" s="403" t="s">
        <v>296</v>
      </c>
      <c r="R1177" s="426" t="s">
        <v>681</v>
      </c>
      <c r="S1177" s="403" t="s">
        <v>296</v>
      </c>
      <c r="T1177" s="421" t="s">
        <v>681</v>
      </c>
      <c r="U1177" s="403" t="s">
        <v>296</v>
      </c>
      <c r="V1177" s="30" t="s">
        <v>681</v>
      </c>
    </row>
    <row r="1178" spans="1:22" ht="16.5" thickTop="1">
      <c r="A1178" s="239" t="s">
        <v>165</v>
      </c>
      <c r="B1178" s="181" t="s">
        <v>553</v>
      </c>
      <c r="C1178" s="182"/>
      <c r="D1178" s="12"/>
      <c r="E1178" s="12"/>
      <c r="F1178" s="12"/>
      <c r="G1178" s="11" t="s">
        <v>45</v>
      </c>
      <c r="H1178" s="32" t="s">
        <v>27</v>
      </c>
      <c r="I1178" s="6" t="s">
        <v>92</v>
      </c>
      <c r="J1178" s="108" t="s">
        <v>29</v>
      </c>
      <c r="K1178" s="33" t="s">
        <v>46</v>
      </c>
      <c r="L1178" s="208"/>
      <c r="M1178" s="25" t="s">
        <v>297</v>
      </c>
      <c r="N1178" s="425"/>
      <c r="O1178" s="25" t="s">
        <v>750</v>
      </c>
      <c r="P1178" s="547"/>
      <c r="Q1178" s="25" t="s">
        <v>896</v>
      </c>
      <c r="R1178" s="547"/>
      <c r="S1178" s="25" t="s">
        <v>957</v>
      </c>
      <c r="T1178" s="422"/>
      <c r="U1178" s="25" t="s">
        <v>252</v>
      </c>
      <c r="V1178" s="26"/>
    </row>
    <row r="1179" spans="1:22" ht="13.5" thickBot="1">
      <c r="A1179" s="183"/>
      <c r="B1179" s="184"/>
      <c r="C1179" s="185"/>
      <c r="D1179" s="37"/>
      <c r="E1179" s="37"/>
      <c r="F1179" s="37"/>
      <c r="G1179" s="83"/>
      <c r="H1179" s="84">
        <v>38335</v>
      </c>
      <c r="I1179" s="148">
        <v>38587</v>
      </c>
      <c r="J1179" s="110" t="s">
        <v>31</v>
      </c>
      <c r="K1179" s="33" t="s">
        <v>32</v>
      </c>
      <c r="L1179" s="242"/>
      <c r="M1179" s="404"/>
      <c r="N1179" s="429"/>
      <c r="O1179" s="404"/>
      <c r="P1179" s="548"/>
      <c r="Q1179" s="404"/>
      <c r="R1179" s="548"/>
      <c r="S1179" s="404"/>
      <c r="T1179" s="423"/>
      <c r="U1179" s="404"/>
      <c r="V1179" s="27"/>
    </row>
    <row r="1180" spans="1:20" ht="13.5" thickBot="1">
      <c r="A1180" s="186" t="s">
        <v>47</v>
      </c>
      <c r="B1180" s="187"/>
      <c r="C1180" s="39"/>
      <c r="D1180" s="188" t="s">
        <v>48</v>
      </c>
      <c r="E1180" s="19"/>
      <c r="F1180" s="19"/>
      <c r="G1180" s="152">
        <v>1</v>
      </c>
      <c r="H1180" s="41">
        <v>2</v>
      </c>
      <c r="I1180" s="188">
        <v>3</v>
      </c>
      <c r="J1180" s="22">
        <v>4</v>
      </c>
      <c r="K1180" s="40">
        <v>1</v>
      </c>
      <c r="L1180" s="599">
        <v>1</v>
      </c>
      <c r="M1180" s="409"/>
      <c r="N1180" s="424"/>
      <c r="P1180" s="547"/>
      <c r="R1180" s="556"/>
      <c r="S1180" s="415"/>
      <c r="T1180" s="5"/>
    </row>
    <row r="1181" spans="1:21" ht="15">
      <c r="A1181" s="457"/>
      <c r="B1181" s="372" t="s">
        <v>228</v>
      </c>
      <c r="C1181" s="372"/>
      <c r="D1181" s="373"/>
      <c r="E1181" s="373"/>
      <c r="F1181" s="373"/>
      <c r="G1181" s="390">
        <f aca="true" t="shared" si="209" ref="G1181:Q1181">G1187+G1192</f>
        <v>19364</v>
      </c>
      <c r="H1181" s="390">
        <f t="shared" si="209"/>
        <v>17762</v>
      </c>
      <c r="I1181" s="390">
        <f t="shared" si="209"/>
        <v>20366</v>
      </c>
      <c r="J1181" s="390">
        <f t="shared" si="209"/>
        <v>6448</v>
      </c>
      <c r="K1181" s="390">
        <f t="shared" si="209"/>
        <v>20986</v>
      </c>
      <c r="L1181" s="390">
        <f>L1183+L1187+L1192+L1198</f>
        <v>22056</v>
      </c>
      <c r="M1181" s="392">
        <f t="shared" si="209"/>
        <v>1588</v>
      </c>
      <c r="N1181" s="440">
        <f>SUM(M1181/L1181)*100</f>
        <v>7.1998549147624225</v>
      </c>
      <c r="O1181" s="392">
        <f t="shared" si="209"/>
        <v>2855</v>
      </c>
      <c r="P1181" s="567">
        <f>SUM(O1181/L1181)*100</f>
        <v>12.944323540079797</v>
      </c>
      <c r="Q1181" s="392">
        <f t="shared" si="209"/>
        <v>7408</v>
      </c>
      <c r="R1181" s="567">
        <f>SUM(Q1181/L1181)*100</f>
        <v>33.58723249909322</v>
      </c>
      <c r="S1181" s="535">
        <f>S1183+S1187+S1192+S1198</f>
        <v>8725</v>
      </c>
      <c r="T1181" s="570">
        <f>SUM(S1181/L1181)*100</f>
        <v>39.558396808124776</v>
      </c>
      <c r="U1181" s="390">
        <f>U1183+U1187+U1192+U1198</f>
        <v>10870</v>
      </c>
    </row>
    <row r="1182" spans="1:22" s="109" customFormat="1" ht="12.75">
      <c r="A1182" s="679"/>
      <c r="B1182" s="237" t="s">
        <v>37</v>
      </c>
      <c r="C1182" s="237"/>
      <c r="D1182" s="237"/>
      <c r="E1182" s="237"/>
      <c r="F1182" s="237"/>
      <c r="G1182" s="301"/>
      <c r="H1182" s="196"/>
      <c r="I1182" s="196"/>
      <c r="J1182" s="196"/>
      <c r="K1182" s="196"/>
      <c r="L1182" s="375">
        <f>SUM(L1183+L1187+L1192)</f>
        <v>21726</v>
      </c>
      <c r="M1182" s="121"/>
      <c r="N1182" s="431"/>
      <c r="O1182" s="121"/>
      <c r="P1182" s="550"/>
      <c r="Q1182" s="121"/>
      <c r="R1182" s="550"/>
      <c r="S1182" s="546">
        <f>SUM(S1183+S1187+S1192)</f>
        <v>8725</v>
      </c>
      <c r="T1182" s="132"/>
      <c r="U1182" s="375">
        <f>SUM(U1183+U1187+U1192)</f>
        <v>10543</v>
      </c>
      <c r="V1182" s="121"/>
    </row>
    <row r="1183" spans="1:22" s="130" customFormat="1" ht="12.75">
      <c r="A1183" s="300">
        <v>633</v>
      </c>
      <c r="B1183" s="49" t="s">
        <v>245</v>
      </c>
      <c r="C1183" s="49"/>
      <c r="D1183" s="49"/>
      <c r="E1183" s="49"/>
      <c r="F1183" s="49"/>
      <c r="G1183" s="302"/>
      <c r="H1183" s="66"/>
      <c r="I1183" s="66"/>
      <c r="J1183" s="66"/>
      <c r="K1183" s="66"/>
      <c r="L1183" s="50">
        <v>100</v>
      </c>
      <c r="M1183" s="399"/>
      <c r="N1183" s="433"/>
      <c r="O1183" s="399"/>
      <c r="P1183" s="552"/>
      <c r="Q1183" s="399"/>
      <c r="R1183" s="552"/>
      <c r="S1183" s="542">
        <v>0</v>
      </c>
      <c r="T1183" s="48"/>
      <c r="U1183" s="399">
        <v>102</v>
      </c>
      <c r="V1183" s="399"/>
    </row>
    <row r="1184" spans="1:21" ht="12.75">
      <c r="A1184" s="327">
        <v>633006</v>
      </c>
      <c r="B1184" s="12" t="s">
        <v>433</v>
      </c>
      <c r="C1184" s="12"/>
      <c r="D1184" s="12"/>
      <c r="E1184" s="12"/>
      <c r="F1184" s="12"/>
      <c r="G1184" s="284"/>
      <c r="H1184" s="14"/>
      <c r="I1184" s="14"/>
      <c r="J1184" s="14"/>
      <c r="K1184" s="14"/>
      <c r="L1184" s="26">
        <v>100</v>
      </c>
      <c r="N1184" s="425"/>
      <c r="P1184" s="547"/>
      <c r="R1184" s="547"/>
      <c r="T1184" s="547"/>
      <c r="U1184" s="31">
        <v>102</v>
      </c>
    </row>
    <row r="1185" spans="1:21" ht="12.75">
      <c r="A1185" s="327"/>
      <c r="B1185" s="12" t="s">
        <v>762</v>
      </c>
      <c r="C1185" s="12"/>
      <c r="D1185" s="12"/>
      <c r="E1185" s="12"/>
      <c r="F1185" s="12"/>
      <c r="G1185" s="284"/>
      <c r="H1185" s="14"/>
      <c r="I1185" s="14"/>
      <c r="J1185" s="14"/>
      <c r="K1185" s="14"/>
      <c r="L1185" s="26">
        <v>100</v>
      </c>
      <c r="N1185" s="425"/>
      <c r="P1185" s="547"/>
      <c r="R1185" s="547"/>
      <c r="T1185" s="547"/>
      <c r="U1185" s="31">
        <v>102</v>
      </c>
    </row>
    <row r="1186" spans="1:20" ht="12.75">
      <c r="A1186" s="327"/>
      <c r="B1186" s="12"/>
      <c r="C1186" s="12"/>
      <c r="D1186" s="12"/>
      <c r="E1186" s="12"/>
      <c r="F1186" s="12"/>
      <c r="G1186" s="284"/>
      <c r="H1186" s="14"/>
      <c r="I1186" s="14"/>
      <c r="J1186" s="14"/>
      <c r="K1186" s="14"/>
      <c r="L1186" s="26"/>
      <c r="N1186" s="425"/>
      <c r="P1186" s="547"/>
      <c r="R1186" s="547"/>
      <c r="T1186" s="547"/>
    </row>
    <row r="1187" spans="1:21" ht="12.75">
      <c r="A1187" s="300">
        <v>635</v>
      </c>
      <c r="B1187" s="49" t="s">
        <v>277</v>
      </c>
      <c r="C1187" s="49"/>
      <c r="D1187" s="12"/>
      <c r="E1187" s="12"/>
      <c r="F1187" s="12"/>
      <c r="G1187" s="50">
        <f aca="true" t="shared" si="210" ref="G1187:U1187">G1188</f>
        <v>15120</v>
      </c>
      <c r="H1187" s="50">
        <f t="shared" si="210"/>
        <v>13612</v>
      </c>
      <c r="I1187" s="50">
        <f t="shared" si="210"/>
        <v>16193</v>
      </c>
      <c r="J1187" s="50">
        <f t="shared" si="210"/>
        <v>4396</v>
      </c>
      <c r="K1187" s="50">
        <f t="shared" si="210"/>
        <v>16729</v>
      </c>
      <c r="L1187" s="50">
        <f t="shared" si="210"/>
        <v>17084</v>
      </c>
      <c r="M1187" s="197">
        <f t="shared" si="210"/>
        <v>623</v>
      </c>
      <c r="N1187" s="433">
        <f>SUM(M1187/L1187)*100</f>
        <v>3.646686958557715</v>
      </c>
      <c r="O1187" s="197">
        <f t="shared" si="210"/>
        <v>1507</v>
      </c>
      <c r="P1187" s="433">
        <f>SUM(O1187/L1187)*100</f>
        <v>8.82111917583704</v>
      </c>
      <c r="Q1187" s="197">
        <f t="shared" si="210"/>
        <v>5671</v>
      </c>
      <c r="R1187" s="433">
        <f>SUM(Q1187/L1187)*100</f>
        <v>33.19480215406228</v>
      </c>
      <c r="S1187" s="197">
        <f t="shared" si="210"/>
        <v>6667</v>
      </c>
      <c r="T1187" s="433">
        <f>SUM(S1187/L1187)*100</f>
        <v>39.02481854366659</v>
      </c>
      <c r="U1187" s="197">
        <f t="shared" si="210"/>
        <v>7998</v>
      </c>
    </row>
    <row r="1188" spans="1:21" ht="12.75">
      <c r="A1188" s="328">
        <v>635006</v>
      </c>
      <c r="B1188" s="12" t="s">
        <v>285</v>
      </c>
      <c r="C1188" s="12"/>
      <c r="D1188" s="12"/>
      <c r="E1188" s="12"/>
      <c r="F1188" s="12"/>
      <c r="G1188" s="56">
        <f aca="true" t="shared" si="211" ref="G1188:U1188">SUM(G1189:G1190)</f>
        <v>15120</v>
      </c>
      <c r="H1188" s="56">
        <f t="shared" si="211"/>
        <v>13612</v>
      </c>
      <c r="I1188" s="56">
        <f t="shared" si="211"/>
        <v>16193</v>
      </c>
      <c r="J1188" s="56">
        <f t="shared" si="211"/>
        <v>4396</v>
      </c>
      <c r="K1188" s="56">
        <f t="shared" si="211"/>
        <v>16729</v>
      </c>
      <c r="L1188" s="92">
        <f t="shared" si="211"/>
        <v>17084</v>
      </c>
      <c r="M1188" s="206">
        <f t="shared" si="211"/>
        <v>623</v>
      </c>
      <c r="N1188" s="430">
        <f>SUM(M1188/L1188)*100</f>
        <v>3.646686958557715</v>
      </c>
      <c r="O1188" s="206">
        <f t="shared" si="211"/>
        <v>1507</v>
      </c>
      <c r="P1188" s="430">
        <f>SUM(O1188/L1188)*100</f>
        <v>8.82111917583704</v>
      </c>
      <c r="Q1188" s="206">
        <f t="shared" si="211"/>
        <v>5671</v>
      </c>
      <c r="R1188" s="430">
        <f>SUM(Q1188/L1188)*100</f>
        <v>33.19480215406228</v>
      </c>
      <c r="S1188" s="206">
        <f t="shared" si="211"/>
        <v>6667</v>
      </c>
      <c r="T1188" s="430">
        <f>SUM(S1188/L1188)*100</f>
        <v>39.02481854366659</v>
      </c>
      <c r="U1188" s="206">
        <f t="shared" si="211"/>
        <v>7998</v>
      </c>
    </row>
    <row r="1189" spans="1:21" ht="12.75">
      <c r="A1189" s="328"/>
      <c r="B1189" s="55" t="s">
        <v>554</v>
      </c>
      <c r="C1189" s="55"/>
      <c r="D1189" s="12"/>
      <c r="E1189" s="12"/>
      <c r="F1189" s="12"/>
      <c r="G1189" s="307">
        <v>15103</v>
      </c>
      <c r="H1189" s="60">
        <v>13595</v>
      </c>
      <c r="I1189" s="60">
        <f>15440+736</f>
        <v>16176</v>
      </c>
      <c r="J1189" s="60">
        <v>4388</v>
      </c>
      <c r="K1189" s="60">
        <v>16701</v>
      </c>
      <c r="L1189" s="94">
        <v>17056</v>
      </c>
      <c r="M1189" s="562">
        <v>620</v>
      </c>
      <c r="N1189" s="563">
        <f>SUM(M1189/L1189)*100</f>
        <v>3.6350844277673544</v>
      </c>
      <c r="O1189" s="562">
        <v>1502</v>
      </c>
      <c r="P1189" s="563">
        <f>SUM(O1189/L1189)*100</f>
        <v>8.806285178236397</v>
      </c>
      <c r="Q1189" s="562">
        <v>5663</v>
      </c>
      <c r="R1189" s="563">
        <f>SUM(Q1189/L1189)*100</f>
        <v>33.20239212007505</v>
      </c>
      <c r="S1189" s="562">
        <v>6658</v>
      </c>
      <c r="T1189" s="563">
        <f>SUM(S1189/L1189)*100</f>
        <v>39.03611632270169</v>
      </c>
      <c r="U1189" s="31">
        <v>7988</v>
      </c>
    </row>
    <row r="1190" spans="1:21" ht="12.75">
      <c r="A1190" s="328"/>
      <c r="B1190" s="55" t="s">
        <v>555</v>
      </c>
      <c r="C1190" s="55"/>
      <c r="D1190" s="12"/>
      <c r="E1190" s="12"/>
      <c r="F1190" s="12"/>
      <c r="G1190" s="307">
        <v>17</v>
      </c>
      <c r="H1190" s="67">
        <v>17</v>
      </c>
      <c r="I1190" s="67">
        <v>17</v>
      </c>
      <c r="J1190" s="67">
        <v>8</v>
      </c>
      <c r="K1190" s="67">
        <v>28</v>
      </c>
      <c r="L1190" s="94">
        <f>20+8</f>
        <v>28</v>
      </c>
      <c r="M1190" s="562">
        <v>3</v>
      </c>
      <c r="N1190" s="563">
        <f>SUM(M1190/L1190)*100</f>
        <v>10.714285714285714</v>
      </c>
      <c r="O1190" s="562">
        <v>5</v>
      </c>
      <c r="P1190" s="563">
        <f>SUM(O1190/L1190)*100</f>
        <v>17.857142857142858</v>
      </c>
      <c r="Q1190" s="562">
        <v>8</v>
      </c>
      <c r="R1190" s="563">
        <f>SUM(Q1190/L1190)*100</f>
        <v>28.57142857142857</v>
      </c>
      <c r="S1190" s="562">
        <v>9</v>
      </c>
      <c r="T1190" s="563">
        <f>SUM(S1190/L1190)*100</f>
        <v>32.142857142857146</v>
      </c>
      <c r="U1190" s="31">
        <v>10</v>
      </c>
    </row>
    <row r="1191" spans="1:20" ht="12.75">
      <c r="A1191" s="327"/>
      <c r="B1191" s="12"/>
      <c r="C1191" s="12"/>
      <c r="D1191" s="12"/>
      <c r="E1191" s="12"/>
      <c r="F1191" s="12"/>
      <c r="G1191" s="155"/>
      <c r="H1191" s="14"/>
      <c r="I1191" s="14"/>
      <c r="J1191" s="14"/>
      <c r="K1191" s="14"/>
      <c r="L1191" s="26"/>
      <c r="N1191" s="425"/>
      <c r="P1191" s="547"/>
      <c r="R1191" s="547"/>
      <c r="T1191" s="547"/>
    </row>
    <row r="1192" spans="1:21" ht="12.75">
      <c r="A1192" s="300">
        <v>637</v>
      </c>
      <c r="B1192" s="49" t="s">
        <v>288</v>
      </c>
      <c r="C1192" s="49"/>
      <c r="D1192" s="12"/>
      <c r="E1192" s="12"/>
      <c r="F1192" s="12"/>
      <c r="G1192" s="50">
        <f aca="true" t="shared" si="212" ref="G1192:U1192">G1193</f>
        <v>4244</v>
      </c>
      <c r="H1192" s="50">
        <f t="shared" si="212"/>
        <v>4150</v>
      </c>
      <c r="I1192" s="50">
        <f t="shared" si="212"/>
        <v>4173</v>
      </c>
      <c r="J1192" s="50">
        <f t="shared" si="212"/>
        <v>2052</v>
      </c>
      <c r="K1192" s="50">
        <f t="shared" si="212"/>
        <v>4257</v>
      </c>
      <c r="L1192" s="50">
        <f t="shared" si="212"/>
        <v>4542</v>
      </c>
      <c r="M1192" s="197">
        <f t="shared" si="212"/>
        <v>965</v>
      </c>
      <c r="N1192" s="433">
        <f>SUM(M1192/L1192)*100</f>
        <v>21.246147071774548</v>
      </c>
      <c r="O1192" s="197">
        <f t="shared" si="212"/>
        <v>1348</v>
      </c>
      <c r="P1192" s="433">
        <f>SUM(O1192/L1192)*100</f>
        <v>29.678555702333774</v>
      </c>
      <c r="Q1192" s="197">
        <f t="shared" si="212"/>
        <v>1737</v>
      </c>
      <c r="R1192" s="433">
        <f>SUM(Q1192/L1192)*100</f>
        <v>38.24306472919419</v>
      </c>
      <c r="S1192" s="197">
        <f t="shared" si="212"/>
        <v>2058</v>
      </c>
      <c r="T1192" s="433">
        <f>SUM(S1192/L1192)*100</f>
        <v>45.310435931307794</v>
      </c>
      <c r="U1192" s="197">
        <f t="shared" si="212"/>
        <v>2443</v>
      </c>
    </row>
    <row r="1193" spans="1:21" ht="12.75">
      <c r="A1193" s="328">
        <v>637004</v>
      </c>
      <c r="B1193" s="329" t="s">
        <v>291</v>
      </c>
      <c r="C1193" s="55"/>
      <c r="D1193" s="12"/>
      <c r="E1193" s="12"/>
      <c r="F1193" s="12"/>
      <c r="G1193" s="56">
        <f aca="true" t="shared" si="213" ref="G1193:U1193">SUM(G1194:G1196)</f>
        <v>4244</v>
      </c>
      <c r="H1193" s="56">
        <f t="shared" si="213"/>
        <v>4150</v>
      </c>
      <c r="I1193" s="56">
        <f t="shared" si="213"/>
        <v>4173</v>
      </c>
      <c r="J1193" s="56">
        <f t="shared" si="213"/>
        <v>2052</v>
      </c>
      <c r="K1193" s="56">
        <f t="shared" si="213"/>
        <v>4257</v>
      </c>
      <c r="L1193" s="92">
        <f t="shared" si="213"/>
        <v>4542</v>
      </c>
      <c r="M1193" s="206">
        <f t="shared" si="213"/>
        <v>965</v>
      </c>
      <c r="N1193" s="430">
        <f>SUM(M1193/L1193)*100</f>
        <v>21.246147071774548</v>
      </c>
      <c r="O1193" s="206">
        <f t="shared" si="213"/>
        <v>1348</v>
      </c>
      <c r="P1193" s="430">
        <f>SUM(O1193/L1193)*100</f>
        <v>29.678555702333774</v>
      </c>
      <c r="Q1193" s="206">
        <f t="shared" si="213"/>
        <v>1737</v>
      </c>
      <c r="R1193" s="430">
        <f>SUM(Q1193/L1193)*100</f>
        <v>38.24306472919419</v>
      </c>
      <c r="S1193" s="206">
        <f t="shared" si="213"/>
        <v>2058</v>
      </c>
      <c r="T1193" s="430">
        <f>SUM(S1193/L1193)*100</f>
        <v>45.310435931307794</v>
      </c>
      <c r="U1193" s="206">
        <f t="shared" si="213"/>
        <v>2443</v>
      </c>
    </row>
    <row r="1194" spans="1:22" ht="12.75">
      <c r="A1194" s="330"/>
      <c r="B1194" s="331" t="s">
        <v>556</v>
      </c>
      <c r="C1194" s="70"/>
      <c r="D1194" s="12"/>
      <c r="E1194" s="12"/>
      <c r="F1194" s="12"/>
      <c r="G1194" s="307">
        <v>3846</v>
      </c>
      <c r="H1194" s="60">
        <v>3840</v>
      </c>
      <c r="I1194" s="60">
        <v>3840</v>
      </c>
      <c r="J1194" s="60">
        <v>1948</v>
      </c>
      <c r="K1194" s="60">
        <v>3840</v>
      </c>
      <c r="L1194" s="94">
        <v>3840</v>
      </c>
      <c r="M1194" s="562">
        <v>965</v>
      </c>
      <c r="N1194" s="563">
        <f>SUM(M1194/L1194)*100</f>
        <v>25.130208333333332</v>
      </c>
      <c r="O1194" s="562">
        <v>1285</v>
      </c>
      <c r="P1194" s="563">
        <f>SUM(O1194/L1194)*100</f>
        <v>33.46354166666667</v>
      </c>
      <c r="Q1194" s="562">
        <v>1605</v>
      </c>
      <c r="R1194" s="563">
        <f>SUM(Q1194/L1194)*100</f>
        <v>41.796875</v>
      </c>
      <c r="S1194" s="562">
        <v>1925</v>
      </c>
      <c r="T1194" s="563">
        <f>SUM(S1194/L1194)*100</f>
        <v>50.130208333333336</v>
      </c>
      <c r="U1194" s="562">
        <v>2245</v>
      </c>
      <c r="V1194" s="562"/>
    </row>
    <row r="1195" spans="1:22" ht="12.75">
      <c r="A1195" s="330"/>
      <c r="B1195" s="203" t="s">
        <v>557</v>
      </c>
      <c r="C1195" s="70"/>
      <c r="D1195" s="12"/>
      <c r="E1195" s="12"/>
      <c r="F1195" s="12"/>
      <c r="G1195" s="307">
        <v>0</v>
      </c>
      <c r="H1195" s="67">
        <v>10</v>
      </c>
      <c r="I1195" s="67">
        <v>10</v>
      </c>
      <c r="J1195" s="67">
        <v>0</v>
      </c>
      <c r="K1195" s="67">
        <v>20</v>
      </c>
      <c r="L1195" s="94">
        <v>20</v>
      </c>
      <c r="M1195" s="562"/>
      <c r="N1195" s="434"/>
      <c r="O1195" s="562"/>
      <c r="P1195" s="565"/>
      <c r="Q1195" s="562"/>
      <c r="R1195" s="565"/>
      <c r="S1195" s="562"/>
      <c r="T1195" s="565"/>
      <c r="U1195" s="562"/>
      <c r="V1195" s="562"/>
    </row>
    <row r="1196" spans="1:22" ht="12.75">
      <c r="A1196" s="328"/>
      <c r="B1196" s="589" t="s">
        <v>558</v>
      </c>
      <c r="C1196" s="55"/>
      <c r="D1196" s="12"/>
      <c r="E1196" s="12"/>
      <c r="F1196" s="12"/>
      <c r="G1196" s="307">
        <v>398</v>
      </c>
      <c r="H1196" s="67">
        <v>300</v>
      </c>
      <c r="I1196" s="67">
        <v>323</v>
      </c>
      <c r="J1196" s="67">
        <v>104</v>
      </c>
      <c r="K1196" s="67">
        <v>397</v>
      </c>
      <c r="L1196" s="94">
        <v>682</v>
      </c>
      <c r="M1196" s="573"/>
      <c r="N1196" s="541"/>
      <c r="O1196" s="573">
        <v>63</v>
      </c>
      <c r="P1196" s="563">
        <f>SUM(O1196/L1196)*100</f>
        <v>9.237536656891496</v>
      </c>
      <c r="Q1196" s="562">
        <v>132</v>
      </c>
      <c r="R1196" s="563">
        <f>SUM(Q1196/L1196)*100</f>
        <v>19.35483870967742</v>
      </c>
      <c r="S1196" s="201">
        <v>133</v>
      </c>
      <c r="T1196" s="563">
        <f>SUM(S1196/L1196)*100</f>
        <v>19.501466275659823</v>
      </c>
      <c r="U1196" s="562">
        <v>198</v>
      </c>
      <c r="V1196" s="562"/>
    </row>
    <row r="1197" spans="1:20" ht="12.75">
      <c r="A1197" s="93"/>
      <c r="B1197" s="593"/>
      <c r="C1197" s="55"/>
      <c r="D1197" s="12"/>
      <c r="E1197" s="12"/>
      <c r="F1197" s="13"/>
      <c r="G1197" s="587"/>
      <c r="H1197" s="70"/>
      <c r="I1197" s="70"/>
      <c r="J1197" s="70"/>
      <c r="K1197" s="70"/>
      <c r="L1197" s="669"/>
      <c r="M1197" s="590"/>
      <c r="N1197" s="428"/>
      <c r="O1197" s="590"/>
      <c r="P1197" s="441"/>
      <c r="Q1197" s="398"/>
      <c r="R1197" s="569"/>
      <c r="T1197" s="547"/>
    </row>
    <row r="1198" spans="1:22" s="130" customFormat="1" ht="12.75">
      <c r="A1198" s="199">
        <v>713004</v>
      </c>
      <c r="B1198" s="594" t="s">
        <v>763</v>
      </c>
      <c r="C1198" s="49"/>
      <c r="D1198" s="49"/>
      <c r="E1198" s="49"/>
      <c r="F1198" s="48"/>
      <c r="G1198" s="591"/>
      <c r="H1198" s="539"/>
      <c r="I1198" s="539"/>
      <c r="J1198" s="539"/>
      <c r="K1198" s="539"/>
      <c r="L1198" s="670">
        <v>330</v>
      </c>
      <c r="M1198" s="595"/>
      <c r="N1198" s="592"/>
      <c r="O1198" s="595"/>
      <c r="P1198" s="596"/>
      <c r="Q1198" s="617"/>
      <c r="R1198" s="650"/>
      <c r="S1198" s="399">
        <v>0</v>
      </c>
      <c r="T1198" s="552"/>
      <c r="U1198" s="399">
        <v>327</v>
      </c>
      <c r="V1198" s="399"/>
    </row>
    <row r="1199" spans="1:22" s="131" customFormat="1" ht="13.5" thickBot="1">
      <c r="A1199" s="248"/>
      <c r="B1199" s="334" t="s">
        <v>764</v>
      </c>
      <c r="C1199" s="212"/>
      <c r="D1199" s="212"/>
      <c r="E1199" s="212"/>
      <c r="F1199" s="249"/>
      <c r="G1199" s="587"/>
      <c r="H1199" s="70"/>
      <c r="I1199" s="70"/>
      <c r="J1199" s="70"/>
      <c r="K1199" s="70"/>
      <c r="L1199" s="671">
        <v>330</v>
      </c>
      <c r="M1199" s="458"/>
      <c r="N1199" s="597"/>
      <c r="O1199" s="458"/>
      <c r="P1199" s="459"/>
      <c r="Q1199" s="458"/>
      <c r="R1199" s="651"/>
      <c r="S1199" s="120"/>
      <c r="T1199" s="559"/>
      <c r="U1199" s="389">
        <v>327</v>
      </c>
      <c r="V1199" s="389"/>
    </row>
    <row r="1200" spans="1:18" ht="12.75">
      <c r="A1200" s="55"/>
      <c r="B1200" s="203"/>
      <c r="C1200" s="55"/>
      <c r="D1200" s="12"/>
      <c r="E1200" s="12"/>
      <c r="F1200" s="12"/>
      <c r="G1200" s="587"/>
      <c r="H1200" s="70"/>
      <c r="I1200" s="70"/>
      <c r="J1200" s="70"/>
      <c r="K1200" s="70"/>
      <c r="L1200" s="59"/>
      <c r="M1200" s="59"/>
      <c r="N1200" s="428"/>
      <c r="O1200" s="59"/>
      <c r="P1200" s="588"/>
      <c r="Q1200" s="398"/>
      <c r="R1200" s="564"/>
    </row>
    <row r="1201" spans="1:22" s="131" customFormat="1" ht="12.75">
      <c r="A1201" s="24" t="s">
        <v>610</v>
      </c>
      <c r="B1201" s="70"/>
      <c r="C1201" s="24"/>
      <c r="D1201" s="24"/>
      <c r="E1201" s="24"/>
      <c r="F1201" s="24"/>
      <c r="G1201" s="587"/>
      <c r="H1201" s="70"/>
      <c r="I1201" s="70"/>
      <c r="J1201" s="70"/>
      <c r="K1201" s="70"/>
      <c r="L1201" s="59"/>
      <c r="M1201" s="59"/>
      <c r="N1201" s="438"/>
      <c r="O1201" s="59"/>
      <c r="P1201" s="588"/>
      <c r="Q1201" s="398"/>
      <c r="R1201" s="564"/>
      <c r="S1201" s="389"/>
      <c r="U1201" s="389"/>
      <c r="V1201" s="389"/>
    </row>
    <row r="1203" spans="1:10" ht="12.75">
      <c r="A1203" s="109"/>
      <c r="H1203" s="12"/>
      <c r="I1203" s="12"/>
      <c r="J1203" s="12"/>
    </row>
    <row r="1204" spans="1:10" ht="15.75">
      <c r="A1204" s="325" t="s">
        <v>559</v>
      </c>
      <c r="B1204" s="1"/>
      <c r="C1204" s="1"/>
      <c r="H1204" s="12"/>
      <c r="I1204" s="12"/>
      <c r="J1204" s="12"/>
    </row>
    <row r="1205" spans="1:10" ht="16.5" thickBot="1">
      <c r="A1205" s="1"/>
      <c r="B1205" s="1"/>
      <c r="C1205" s="1"/>
      <c r="H1205" s="12"/>
      <c r="I1205" s="12"/>
      <c r="J1205" s="12"/>
    </row>
    <row r="1206" spans="1:22" ht="13.5" thickBot="1">
      <c r="A1206" s="177" t="s">
        <v>44</v>
      </c>
      <c r="B1206" s="178"/>
      <c r="C1206" s="178"/>
      <c r="D1206" s="179"/>
      <c r="E1206" s="179"/>
      <c r="F1206" s="179"/>
      <c r="G1206" s="15" t="s">
        <v>560</v>
      </c>
      <c r="H1206" s="136"/>
      <c r="I1206" s="137" t="s">
        <v>395</v>
      </c>
      <c r="J1206" s="216"/>
      <c r="K1206" s="10" t="s">
        <v>25</v>
      </c>
      <c r="L1206" s="238" t="s">
        <v>645</v>
      </c>
      <c r="M1206" s="403" t="s">
        <v>296</v>
      </c>
      <c r="N1206" s="426" t="s">
        <v>684</v>
      </c>
      <c r="O1206" s="403" t="s">
        <v>296</v>
      </c>
      <c r="P1206" s="426" t="s">
        <v>683</v>
      </c>
      <c r="Q1206" s="403" t="s">
        <v>296</v>
      </c>
      <c r="R1206" s="426" t="s">
        <v>681</v>
      </c>
      <c r="S1206" s="403" t="s">
        <v>296</v>
      </c>
      <c r="T1206" s="421" t="s">
        <v>681</v>
      </c>
      <c r="U1206" s="403" t="s">
        <v>296</v>
      </c>
      <c r="V1206" s="421" t="s">
        <v>681</v>
      </c>
    </row>
    <row r="1207" spans="1:22" ht="16.5" thickTop="1">
      <c r="A1207" s="239" t="s">
        <v>184</v>
      </c>
      <c r="B1207" s="181" t="s">
        <v>185</v>
      </c>
      <c r="C1207" s="182"/>
      <c r="D1207" s="12"/>
      <c r="E1207" s="12"/>
      <c r="F1207" s="12"/>
      <c r="G1207" s="11" t="s">
        <v>45</v>
      </c>
      <c r="H1207" s="32" t="s">
        <v>27</v>
      </c>
      <c r="I1207" s="6" t="s">
        <v>92</v>
      </c>
      <c r="J1207" s="108" t="s">
        <v>29</v>
      </c>
      <c r="K1207" s="33" t="s">
        <v>46</v>
      </c>
      <c r="L1207" s="208"/>
      <c r="M1207" s="25" t="s">
        <v>297</v>
      </c>
      <c r="N1207" s="425"/>
      <c r="O1207" s="25" t="s">
        <v>750</v>
      </c>
      <c r="P1207" s="547"/>
      <c r="Q1207" s="25" t="s">
        <v>896</v>
      </c>
      <c r="R1207" s="547"/>
      <c r="S1207" s="25" t="s">
        <v>957</v>
      </c>
      <c r="T1207" s="422"/>
      <c r="U1207" s="25" t="s">
        <v>252</v>
      </c>
      <c r="V1207" s="422"/>
    </row>
    <row r="1208" spans="1:22" ht="13.5" thickBot="1">
      <c r="A1208" s="183"/>
      <c r="B1208" s="184"/>
      <c r="C1208" s="185"/>
      <c r="D1208" s="37"/>
      <c r="E1208" s="37"/>
      <c r="F1208" s="37"/>
      <c r="G1208" s="83"/>
      <c r="H1208" s="84">
        <v>38335</v>
      </c>
      <c r="I1208" s="148">
        <v>38587</v>
      </c>
      <c r="J1208" s="110" t="s">
        <v>31</v>
      </c>
      <c r="K1208" s="33" t="s">
        <v>32</v>
      </c>
      <c r="L1208" s="242"/>
      <c r="M1208" s="404"/>
      <c r="N1208" s="429"/>
      <c r="O1208" s="404"/>
      <c r="P1208" s="548"/>
      <c r="Q1208" s="404"/>
      <c r="R1208" s="548"/>
      <c r="S1208" s="404"/>
      <c r="T1208" s="423"/>
      <c r="U1208" s="404"/>
      <c r="V1208" s="423"/>
    </row>
    <row r="1209" spans="1:20" ht="13.5" thickBot="1">
      <c r="A1209" s="186" t="s">
        <v>47</v>
      </c>
      <c r="B1209" s="187"/>
      <c r="C1209" s="39"/>
      <c r="D1209" s="188" t="s">
        <v>48</v>
      </c>
      <c r="E1209" s="19"/>
      <c r="F1209" s="19"/>
      <c r="G1209" s="152">
        <v>1</v>
      </c>
      <c r="H1209" s="41">
        <v>2</v>
      </c>
      <c r="I1209" s="188">
        <v>3</v>
      </c>
      <c r="J1209" s="22">
        <v>4</v>
      </c>
      <c r="K1209" s="40">
        <v>1</v>
      </c>
      <c r="L1209" s="599">
        <v>1</v>
      </c>
      <c r="M1209" s="409"/>
      <c r="N1209" s="424"/>
      <c r="P1209" s="547"/>
      <c r="R1209" s="556"/>
      <c r="T1209" s="556"/>
    </row>
    <row r="1210" spans="1:21" ht="15">
      <c r="A1210" s="445"/>
      <c r="B1210" s="449" t="s">
        <v>228</v>
      </c>
      <c r="C1210" s="372"/>
      <c r="D1210" s="373"/>
      <c r="E1210" s="373"/>
      <c r="F1210" s="373"/>
      <c r="G1210" s="390" t="e">
        <f>#REF!+G1230+#REF!</f>
        <v>#REF!</v>
      </c>
      <c r="H1210" s="390" t="e">
        <f>#REF!+H1230+#REF!+H1212</f>
        <v>#REF!</v>
      </c>
      <c r="I1210" s="390" t="e">
        <f>#REF!+I1230++I1212+I1216+#REF!</f>
        <v>#REF!</v>
      </c>
      <c r="J1210" s="390" t="e">
        <f>#REF!+J1230++J1212+J1216+#REF!</f>
        <v>#REF!</v>
      </c>
      <c r="K1210" s="390" t="e">
        <f>#REF!+K1230++K1212+K1216+#REF!</f>
        <v>#REF!</v>
      </c>
      <c r="L1210" s="390">
        <f>L1212+L1216+L1221</f>
        <v>9992</v>
      </c>
      <c r="M1210" s="392" t="e">
        <f>#REF!+M1230++M1212+M1216+#REF!</f>
        <v>#REF!</v>
      </c>
      <c r="N1210" s="440" t="e">
        <f>SUM(M1210/L1210)*100</f>
        <v>#REF!</v>
      </c>
      <c r="O1210" s="392" t="e">
        <f>#REF!+O1230++O1212+O1216+#REF!</f>
        <v>#REF!</v>
      </c>
      <c r="P1210" s="567" t="e">
        <f>SUM(O1210/L1210)*100</f>
        <v>#REF!</v>
      </c>
      <c r="Q1210" s="392" t="e">
        <f>Q1212+Q1216+Q1221</f>
        <v>#REF!</v>
      </c>
      <c r="R1210" s="567" t="e">
        <f>SUM(Q1210/L1210)*100</f>
        <v>#REF!</v>
      </c>
      <c r="S1210" s="392">
        <f>S1212+S1216+S1221</f>
        <v>8188</v>
      </c>
      <c r="T1210" s="567">
        <f>SUM(S1210/L1210)*100</f>
        <v>81.94555644515611</v>
      </c>
      <c r="U1210" s="392">
        <f>U1212+U1216+U1219+U1221</f>
        <v>9302</v>
      </c>
    </row>
    <row r="1211" spans="1:22" s="28" customFormat="1" ht="15">
      <c r="A1211" s="98"/>
      <c r="B1211" s="498" t="s">
        <v>37</v>
      </c>
      <c r="C1211" s="63"/>
      <c r="D1211" s="63"/>
      <c r="E1211" s="63"/>
      <c r="F1211" s="63"/>
      <c r="G1211" s="492"/>
      <c r="H1211" s="61"/>
      <c r="I1211" s="61"/>
      <c r="J1211" s="61"/>
      <c r="K1211" s="61"/>
      <c r="L1211" s="64">
        <f>SUM(L1212+L1216)</f>
        <v>531</v>
      </c>
      <c r="M1211" s="536">
        <f>SUM(M1212+M1216)</f>
        <v>108</v>
      </c>
      <c r="N1211" s="516"/>
      <c r="O1211" s="413">
        <f>SUM(O1212+O1216)</f>
        <v>108</v>
      </c>
      <c r="P1211" s="432">
        <f>SUM(O1211/L1211)*100</f>
        <v>20.33898305084746</v>
      </c>
      <c r="Q1211" s="413">
        <f>SUM(Q1212+Q1216)</f>
        <v>134</v>
      </c>
      <c r="R1211" s="432">
        <f>SUM(Q1211/L1211)*100</f>
        <v>25.235404896421848</v>
      </c>
      <c r="S1211" s="413">
        <f>SUM(S1212+S1216)</f>
        <v>135</v>
      </c>
      <c r="T1211" s="432">
        <f>SUM(S1211/L1211)*100</f>
        <v>25.423728813559322</v>
      </c>
      <c r="U1211" s="413">
        <f>SUM(U1212+U1216)</f>
        <v>108</v>
      </c>
      <c r="V1211" s="783"/>
    </row>
    <row r="1212" spans="1:21" ht="12.75">
      <c r="A1212" s="199">
        <v>630</v>
      </c>
      <c r="B1212" s="291" t="s">
        <v>506</v>
      </c>
      <c r="C1212" s="12"/>
      <c r="D1212" s="12"/>
      <c r="E1212" s="12"/>
      <c r="F1212" s="12"/>
      <c r="G1212" s="302" t="e">
        <f>SUM(#REF!)</f>
        <v>#REF!</v>
      </c>
      <c r="H1212" s="302" t="e">
        <f>SUM(#REF!)</f>
        <v>#REF!</v>
      </c>
      <c r="I1212" s="198">
        <f>SUM(I1213:I1214)</f>
        <v>242</v>
      </c>
      <c r="J1212" s="198">
        <f>SUM(J1213:J1214)</f>
        <v>0</v>
      </c>
      <c r="K1212" s="198">
        <f>SUM(K1213:K1214)</f>
        <v>210</v>
      </c>
      <c r="L1212" s="50">
        <f>SUM(L1213:L1214)</f>
        <v>395</v>
      </c>
      <c r="M1212" s="389"/>
      <c r="N1212" s="430"/>
      <c r="P1212" s="547"/>
      <c r="Q1212" s="197">
        <f>SUM(Q1213:Q1214)</f>
        <v>108</v>
      </c>
      <c r="R1212" s="433">
        <f>SUM(Q1212/L1212)*100</f>
        <v>27.341772151898734</v>
      </c>
      <c r="S1212" s="197">
        <f>SUM(S1213:S1214)</f>
        <v>109</v>
      </c>
      <c r="T1212" s="433">
        <f>SUM(S1212/L1212)*100</f>
        <v>27.59493670886076</v>
      </c>
      <c r="U1212" s="197">
        <f>SUM(U1213:U1214)</f>
        <v>108</v>
      </c>
    </row>
    <row r="1213" spans="1:21" ht="12.75">
      <c r="A1213" s="23">
        <v>632001</v>
      </c>
      <c r="B1213" s="292" t="s">
        <v>235</v>
      </c>
      <c r="C1213" s="12"/>
      <c r="D1213" s="12"/>
      <c r="E1213" s="12"/>
      <c r="F1213" s="12"/>
      <c r="G1213" s="302"/>
      <c r="H1213" s="261">
        <v>0</v>
      </c>
      <c r="I1213" s="14">
        <v>110</v>
      </c>
      <c r="J1213" s="14">
        <v>0</v>
      </c>
      <c r="K1213" s="14">
        <v>110</v>
      </c>
      <c r="L1213" s="26">
        <v>295</v>
      </c>
      <c r="N1213" s="425"/>
      <c r="P1213" s="547"/>
      <c r="Q1213" s="31">
        <v>98</v>
      </c>
      <c r="R1213" s="430">
        <f>SUM(Q1213/L1213)*100</f>
        <v>33.220338983050844</v>
      </c>
      <c r="S1213" s="31">
        <v>99</v>
      </c>
      <c r="T1213" s="430">
        <f>SUM(S1213/L1213)*100</f>
        <v>33.559322033898304</v>
      </c>
      <c r="U1213" s="31">
        <v>98</v>
      </c>
    </row>
    <row r="1214" spans="1:21" ht="12.75">
      <c r="A1214" s="23">
        <v>633006</v>
      </c>
      <c r="B1214" s="292" t="s">
        <v>433</v>
      </c>
      <c r="C1214" s="12"/>
      <c r="D1214" s="12"/>
      <c r="E1214" s="12"/>
      <c r="F1214" s="12"/>
      <c r="G1214" s="302"/>
      <c r="H1214" s="261">
        <v>0</v>
      </c>
      <c r="I1214" s="14">
        <v>132</v>
      </c>
      <c r="J1214" s="14">
        <v>0</v>
      </c>
      <c r="K1214" s="14">
        <v>100</v>
      </c>
      <c r="L1214" s="26">
        <v>100</v>
      </c>
      <c r="N1214" s="425"/>
      <c r="P1214" s="547"/>
      <c r="Q1214" s="31">
        <v>10</v>
      </c>
      <c r="R1214" s="430">
        <f>SUM(Q1214/L1214)*100</f>
        <v>10</v>
      </c>
      <c r="S1214" s="31">
        <v>10</v>
      </c>
      <c r="T1214" s="430">
        <f>SUM(S1214/L1214)*100</f>
        <v>10</v>
      </c>
      <c r="U1214" s="31">
        <v>10</v>
      </c>
    </row>
    <row r="1215" spans="1:20" ht="12.75">
      <c r="A1215" s="11"/>
      <c r="B1215" s="294"/>
      <c r="C1215" s="12"/>
      <c r="D1215" s="12"/>
      <c r="E1215" s="12"/>
      <c r="F1215" s="12"/>
      <c r="G1215" s="284"/>
      <c r="H1215" s="26"/>
      <c r="I1215" s="14"/>
      <c r="J1215" s="14"/>
      <c r="K1215" s="14"/>
      <c r="L1215" s="26"/>
      <c r="N1215" s="425"/>
      <c r="P1215" s="547"/>
      <c r="R1215" s="547"/>
      <c r="T1215" s="547"/>
    </row>
    <row r="1216" spans="1:20" ht="12.75">
      <c r="A1216" s="199">
        <v>637005</v>
      </c>
      <c r="B1216" s="291" t="s">
        <v>485</v>
      </c>
      <c r="C1216" s="49"/>
      <c r="D1216" s="49"/>
      <c r="E1216" s="49"/>
      <c r="F1216" s="49"/>
      <c r="G1216" s="302">
        <v>0</v>
      </c>
      <c r="H1216" s="50">
        <v>0</v>
      </c>
      <c r="I1216" s="66">
        <f>SUM(I1217)</f>
        <v>104</v>
      </c>
      <c r="J1216" s="66">
        <f>SUM(J1217)</f>
        <v>0</v>
      </c>
      <c r="K1216" s="66">
        <f>SUM(K1217)</f>
        <v>136</v>
      </c>
      <c r="L1216" s="50">
        <f>SUM(L1217)</f>
        <v>136</v>
      </c>
      <c r="M1216" s="199">
        <f>SUM(M1217)</f>
        <v>108</v>
      </c>
      <c r="N1216" s="433">
        <f>SUM(M1216/L1216)*100</f>
        <v>79.41176470588235</v>
      </c>
      <c r="O1216" s="197">
        <f>SUM(O1217)</f>
        <v>108</v>
      </c>
      <c r="P1216" s="433">
        <f>SUM(O1216/L1216)*100</f>
        <v>79.41176470588235</v>
      </c>
      <c r="Q1216" s="197">
        <f>SUM(Q1217)</f>
        <v>26</v>
      </c>
      <c r="R1216" s="433">
        <f>SUM(Q1216/L1216)*100</f>
        <v>19.11764705882353</v>
      </c>
      <c r="S1216" s="197">
        <f>SUM(S1217)</f>
        <v>26</v>
      </c>
      <c r="T1216" s="433">
        <f>SUM(S1216/L1216)*100</f>
        <v>19.11764705882353</v>
      </c>
    </row>
    <row r="1217" spans="1:20" ht="12.75">
      <c r="A1217" s="11"/>
      <c r="B1217" s="294" t="s">
        <v>768</v>
      </c>
      <c r="C1217" s="12"/>
      <c r="D1217" s="12"/>
      <c r="E1217" s="12"/>
      <c r="F1217" s="12"/>
      <c r="G1217" s="284"/>
      <c r="H1217" s="26"/>
      <c r="I1217" s="14">
        <v>104</v>
      </c>
      <c r="J1217" s="14">
        <v>0</v>
      </c>
      <c r="K1217" s="14">
        <f>104+32</f>
        <v>136</v>
      </c>
      <c r="L1217" s="26">
        <f>104+32</f>
        <v>136</v>
      </c>
      <c r="M1217" s="31">
        <v>108</v>
      </c>
      <c r="N1217" s="430">
        <f>SUM(M1217/L1217)*100</f>
        <v>79.41176470588235</v>
      </c>
      <c r="O1217" s="31">
        <v>108</v>
      </c>
      <c r="P1217" s="430">
        <f>SUM(O1217/L1217)*100</f>
        <v>79.41176470588235</v>
      </c>
      <c r="Q1217" s="31">
        <v>26</v>
      </c>
      <c r="R1217" s="430">
        <f>SUM(Q1217/L1217)*100</f>
        <v>19.11764705882353</v>
      </c>
      <c r="S1217" s="31">
        <v>26</v>
      </c>
      <c r="T1217" s="430">
        <f>SUM(S1217/L1217)*100</f>
        <v>19.11764705882353</v>
      </c>
    </row>
    <row r="1218" spans="1:20" ht="12.75">
      <c r="A1218" s="11"/>
      <c r="B1218" s="294"/>
      <c r="C1218" s="12"/>
      <c r="D1218" s="12"/>
      <c r="E1218" s="12"/>
      <c r="F1218" s="12"/>
      <c r="G1218" s="284"/>
      <c r="H1218" s="26"/>
      <c r="I1218" s="14"/>
      <c r="J1218" s="14"/>
      <c r="K1218" s="14"/>
      <c r="L1218" s="26"/>
      <c r="N1218" s="430"/>
      <c r="P1218" s="430"/>
      <c r="R1218" s="430"/>
      <c r="T1218" s="430"/>
    </row>
    <row r="1219" spans="1:22" s="130" customFormat="1" ht="12.75">
      <c r="A1219" s="199">
        <v>640</v>
      </c>
      <c r="B1219" s="291" t="s">
        <v>1004</v>
      </c>
      <c r="C1219" s="49"/>
      <c r="D1219" s="49"/>
      <c r="E1219" s="49"/>
      <c r="F1219" s="49"/>
      <c r="G1219" s="302"/>
      <c r="H1219" s="50"/>
      <c r="I1219" s="66"/>
      <c r="J1219" s="66"/>
      <c r="K1219" s="66"/>
      <c r="L1219" s="50"/>
      <c r="M1219" s="399"/>
      <c r="N1219" s="433"/>
      <c r="O1219" s="399"/>
      <c r="P1219" s="433"/>
      <c r="Q1219" s="399"/>
      <c r="R1219" s="433"/>
      <c r="S1219" s="399"/>
      <c r="T1219" s="433"/>
      <c r="U1219" s="399">
        <v>26</v>
      </c>
      <c r="V1219" s="399"/>
    </row>
    <row r="1220" spans="1:21" ht="12.75">
      <c r="A1220" s="11">
        <v>641001</v>
      </c>
      <c r="B1220" s="294" t="s">
        <v>68</v>
      </c>
      <c r="C1220" s="12"/>
      <c r="D1220" s="12"/>
      <c r="E1220" s="12"/>
      <c r="F1220" s="12"/>
      <c r="G1220" s="284"/>
      <c r="H1220" s="26"/>
      <c r="I1220" s="14"/>
      <c r="J1220" s="14"/>
      <c r="K1220" s="14"/>
      <c r="L1220" s="26">
        <v>0</v>
      </c>
      <c r="N1220" s="430"/>
      <c r="P1220" s="547"/>
      <c r="R1220" s="547"/>
      <c r="T1220" s="547"/>
      <c r="U1220" s="31">
        <v>26</v>
      </c>
    </row>
    <row r="1221" spans="1:22" s="275" customFormat="1" ht="15">
      <c r="A1221" s="98">
        <v>700</v>
      </c>
      <c r="B1221" s="498" t="s">
        <v>38</v>
      </c>
      <c r="C1221" s="63"/>
      <c r="D1221" s="63"/>
      <c r="E1221" s="63"/>
      <c r="F1221" s="63"/>
      <c r="G1221" s="492"/>
      <c r="H1221" s="64"/>
      <c r="I1221" s="61"/>
      <c r="J1221" s="61"/>
      <c r="K1221" s="61"/>
      <c r="L1221" s="64">
        <f>SUM(L1223+L1226+L1230)</f>
        <v>9461</v>
      </c>
      <c r="M1221" s="370"/>
      <c r="N1221" s="432"/>
      <c r="O1221" s="370"/>
      <c r="P1221" s="553"/>
      <c r="Q1221" s="413" t="e">
        <f>SUM(Q1223+#REF!+#REF!+Q1230)</f>
        <v>#REF!</v>
      </c>
      <c r="R1221" s="432" t="e">
        <f>SUM(Q1221/L1221)*100</f>
        <v>#REF!</v>
      </c>
      <c r="S1221" s="494">
        <f>SUM(S1223+S1226+S1230)</f>
        <v>8053</v>
      </c>
      <c r="T1221" s="516">
        <f>SUM(S1221/L1221)*100</f>
        <v>85.11785223549307</v>
      </c>
      <c r="U1221" s="494">
        <f>SUM(U1223+U1226+U1230)</f>
        <v>9168</v>
      </c>
      <c r="V1221" s="370"/>
    </row>
    <row r="1222" spans="1:20" ht="12.75">
      <c r="A1222" s="11"/>
      <c r="B1222" s="294"/>
      <c r="C1222" s="12"/>
      <c r="D1222" s="12"/>
      <c r="E1222" s="12"/>
      <c r="F1222" s="12"/>
      <c r="G1222" s="284"/>
      <c r="H1222" s="14"/>
      <c r="I1222" s="14"/>
      <c r="J1222" s="14"/>
      <c r="K1222" s="14"/>
      <c r="L1222" s="26"/>
      <c r="N1222" s="425"/>
      <c r="P1222" s="547"/>
      <c r="R1222" s="547"/>
      <c r="T1222" s="547"/>
    </row>
    <row r="1223" spans="1:22" s="130" customFormat="1" ht="12.75">
      <c r="A1223" s="199">
        <v>711</v>
      </c>
      <c r="B1223" s="291" t="s">
        <v>383</v>
      </c>
      <c r="C1223" s="49"/>
      <c r="D1223" s="49"/>
      <c r="E1223" s="49"/>
      <c r="F1223" s="49"/>
      <c r="G1223" s="302"/>
      <c r="H1223" s="66"/>
      <c r="I1223" s="66"/>
      <c r="J1223" s="66"/>
      <c r="K1223" s="66"/>
      <c r="L1223" s="50">
        <v>4000</v>
      </c>
      <c r="M1223" s="399"/>
      <c r="N1223" s="433"/>
      <c r="O1223" s="399"/>
      <c r="P1223" s="552"/>
      <c r="Q1223" s="399">
        <v>4030</v>
      </c>
      <c r="R1223" s="433">
        <f>SUM(Q1223/L1223)*100</f>
        <v>100.75</v>
      </c>
      <c r="S1223" s="399">
        <v>4030</v>
      </c>
      <c r="T1223" s="433">
        <f>SUM(S1223/L1223)*100</f>
        <v>100.75</v>
      </c>
      <c r="U1223" s="399">
        <v>4030</v>
      </c>
      <c r="V1223" s="399"/>
    </row>
    <row r="1224" spans="1:22" s="131" customFormat="1" ht="12.75">
      <c r="A1224" s="23">
        <v>711001</v>
      </c>
      <c r="B1224" s="292" t="s">
        <v>765</v>
      </c>
      <c r="C1224" s="24"/>
      <c r="D1224" s="24"/>
      <c r="E1224" s="24"/>
      <c r="F1224" s="24"/>
      <c r="G1224" s="56"/>
      <c r="H1224" s="56"/>
      <c r="I1224" s="71"/>
      <c r="J1224" s="71"/>
      <c r="K1224" s="71"/>
      <c r="L1224" s="92">
        <v>4000</v>
      </c>
      <c r="M1224" s="389"/>
      <c r="N1224" s="430"/>
      <c r="O1224" s="389"/>
      <c r="P1224" s="549"/>
      <c r="Q1224" s="389">
        <v>4030</v>
      </c>
      <c r="R1224" s="430">
        <f>SUM(Q1224/L1224)*100</f>
        <v>100.75</v>
      </c>
      <c r="S1224" s="389">
        <v>4030</v>
      </c>
      <c r="T1224" s="430">
        <f>SUM(S1224/L1224)*100</f>
        <v>100.75</v>
      </c>
      <c r="U1224" s="389">
        <v>4030</v>
      </c>
      <c r="V1224" s="389"/>
    </row>
    <row r="1225" spans="1:22" s="131" customFormat="1" ht="12.75">
      <c r="A1225" s="23"/>
      <c r="B1225" s="292"/>
      <c r="C1225" s="24"/>
      <c r="D1225" s="24"/>
      <c r="E1225" s="24"/>
      <c r="F1225" s="24"/>
      <c r="G1225" s="56"/>
      <c r="H1225" s="56"/>
      <c r="I1225" s="71"/>
      <c r="J1225" s="71"/>
      <c r="K1225" s="71"/>
      <c r="L1225" s="92"/>
      <c r="M1225" s="389"/>
      <c r="N1225" s="430"/>
      <c r="O1225" s="389"/>
      <c r="P1225" s="549"/>
      <c r="Q1225" s="389"/>
      <c r="R1225" s="430"/>
      <c r="S1225" s="389"/>
      <c r="T1225" s="549"/>
      <c r="U1225" s="389"/>
      <c r="V1225" s="389"/>
    </row>
    <row r="1226" spans="1:22" s="130" customFormat="1" ht="12.75">
      <c r="A1226" s="199">
        <v>713004</v>
      </c>
      <c r="B1226" s="291" t="s">
        <v>924</v>
      </c>
      <c r="C1226" s="49"/>
      <c r="D1226" s="49"/>
      <c r="E1226" s="49"/>
      <c r="F1226" s="49"/>
      <c r="G1226" s="193"/>
      <c r="H1226" s="193"/>
      <c r="I1226" s="66"/>
      <c r="J1226" s="66"/>
      <c r="K1226" s="66"/>
      <c r="L1226" s="50">
        <v>270</v>
      </c>
      <c r="M1226" s="399"/>
      <c r="N1226" s="433"/>
      <c r="O1226" s="399"/>
      <c r="P1226" s="552"/>
      <c r="Q1226" s="399"/>
      <c r="R1226" s="552"/>
      <c r="S1226" s="399">
        <v>0</v>
      </c>
      <c r="T1226" s="552"/>
      <c r="U1226" s="399"/>
      <c r="V1226" s="399"/>
    </row>
    <row r="1227" spans="1:22" s="131" customFormat="1" ht="12.75">
      <c r="A1227" s="23">
        <v>713004</v>
      </c>
      <c r="B1227" s="292" t="s">
        <v>925</v>
      </c>
      <c r="C1227" s="24"/>
      <c r="D1227" s="24"/>
      <c r="E1227" s="24"/>
      <c r="F1227" s="24"/>
      <c r="G1227" s="56"/>
      <c r="H1227" s="56"/>
      <c r="I1227" s="71"/>
      <c r="J1227" s="71"/>
      <c r="K1227" s="71"/>
      <c r="L1227" s="92">
        <v>270</v>
      </c>
      <c r="M1227" s="389"/>
      <c r="N1227" s="430"/>
      <c r="O1227" s="389"/>
      <c r="P1227" s="549"/>
      <c r="Q1227" s="389"/>
      <c r="R1227" s="549"/>
      <c r="S1227" s="389">
        <v>0</v>
      </c>
      <c r="T1227" s="549"/>
      <c r="U1227" s="389"/>
      <c r="V1227" s="389"/>
    </row>
    <row r="1228" spans="1:22" s="131" customFormat="1" ht="12.75">
      <c r="A1228" s="23"/>
      <c r="B1228" s="292"/>
      <c r="C1228" s="24"/>
      <c r="D1228" s="24"/>
      <c r="E1228" s="24"/>
      <c r="F1228" s="24"/>
      <c r="G1228" s="56"/>
      <c r="H1228" s="56"/>
      <c r="I1228" s="71"/>
      <c r="J1228" s="71"/>
      <c r="K1228" s="71"/>
      <c r="L1228" s="92"/>
      <c r="M1228" s="389"/>
      <c r="N1228" s="430"/>
      <c r="O1228" s="389"/>
      <c r="P1228" s="549"/>
      <c r="Q1228" s="389"/>
      <c r="R1228" s="549"/>
      <c r="S1228" s="389"/>
      <c r="T1228" s="549"/>
      <c r="U1228" s="389"/>
      <c r="V1228" s="389"/>
    </row>
    <row r="1229" spans="1:20" ht="12.75">
      <c r="A1229" s="11"/>
      <c r="B1229" s="294"/>
      <c r="C1229" s="12"/>
      <c r="D1229" s="12"/>
      <c r="E1229" s="12"/>
      <c r="F1229" s="12"/>
      <c r="G1229" s="284"/>
      <c r="H1229" s="14"/>
      <c r="I1229" s="14"/>
      <c r="J1229" s="14"/>
      <c r="K1229" s="14"/>
      <c r="L1229" s="26"/>
      <c r="N1229" s="425"/>
      <c r="P1229" s="547"/>
      <c r="R1229" s="547"/>
      <c r="T1229" s="547"/>
    </row>
    <row r="1230" spans="1:21" ht="12.75">
      <c r="A1230" s="199">
        <v>717</v>
      </c>
      <c r="B1230" s="291" t="s">
        <v>457</v>
      </c>
      <c r="C1230" s="49"/>
      <c r="D1230" s="12"/>
      <c r="E1230" s="12"/>
      <c r="F1230" s="12"/>
      <c r="G1230" s="193">
        <v>110382</v>
      </c>
      <c r="H1230" s="193">
        <f>SUM(H1231:H1232)</f>
        <v>950</v>
      </c>
      <c r="I1230" s="193">
        <f>SUM(I1231:I1232)</f>
        <v>950</v>
      </c>
      <c r="J1230" s="193">
        <f>SUM(J1231:J1232)</f>
        <v>0</v>
      </c>
      <c r="K1230" s="193">
        <f>SUM(K1231:K1232)</f>
        <v>950</v>
      </c>
      <c r="L1230" s="50">
        <f>SUM(L1231)</f>
        <v>5191</v>
      </c>
      <c r="N1230" s="425"/>
      <c r="P1230" s="547"/>
      <c r="Q1230" s="197">
        <f>SUM(Q1231)</f>
        <v>4023</v>
      </c>
      <c r="R1230" s="433">
        <f>SUM(Q1230/L1230)*100</f>
        <v>77.49951839722597</v>
      </c>
      <c r="S1230" s="197">
        <f>SUM(S1231)</f>
        <v>4023</v>
      </c>
      <c r="T1230" s="433">
        <f>SUM(S1230/L1230)*100</f>
        <v>77.49951839722597</v>
      </c>
      <c r="U1230" s="197">
        <f>SUM(U1231)</f>
        <v>5138</v>
      </c>
    </row>
    <row r="1231" spans="1:21" ht="12.75">
      <c r="A1231" s="23">
        <v>717001</v>
      </c>
      <c r="B1231" s="292" t="s">
        <v>561</v>
      </c>
      <c r="C1231" s="70"/>
      <c r="D1231" s="12"/>
      <c r="E1231" s="12"/>
      <c r="F1231" s="12"/>
      <c r="G1231" s="284"/>
      <c r="H1231" s="14"/>
      <c r="I1231" s="14"/>
      <c r="J1231" s="14"/>
      <c r="K1231" s="14"/>
      <c r="L1231" s="26">
        <f>SUM(L1232+L1233+L1234)</f>
        <v>5191</v>
      </c>
      <c r="N1231" s="425"/>
      <c r="P1231" s="547"/>
      <c r="Q1231" s="25">
        <f>SUM(Q1232+Q1233+Q1234)</f>
        <v>4023</v>
      </c>
      <c r="R1231" s="430">
        <f>SUM(Q1231/L1231)*100</f>
        <v>77.49951839722597</v>
      </c>
      <c r="S1231" s="25">
        <f>SUM(S1232+S1233+S1234)</f>
        <v>4023</v>
      </c>
      <c r="T1231" s="430">
        <f>SUM(S1231/L1231)*100</f>
        <v>77.49951839722597</v>
      </c>
      <c r="U1231" s="25">
        <f>SUM(U1232+U1233+U1234)</f>
        <v>5138</v>
      </c>
    </row>
    <row r="1232" spans="1:21" ht="12.75">
      <c r="A1232" s="11"/>
      <c r="B1232" s="333" t="s">
        <v>562</v>
      </c>
      <c r="C1232" s="601"/>
      <c r="D1232" s="12"/>
      <c r="E1232" s="12"/>
      <c r="F1232" s="12"/>
      <c r="G1232" s="284"/>
      <c r="H1232" s="14">
        <v>950</v>
      </c>
      <c r="I1232" s="14">
        <v>950</v>
      </c>
      <c r="J1232" s="14">
        <v>0</v>
      </c>
      <c r="K1232" s="14">
        <v>950</v>
      </c>
      <c r="L1232" s="26">
        <v>1150</v>
      </c>
      <c r="M1232" s="416"/>
      <c r="N1232" s="425"/>
      <c r="O1232" s="416"/>
      <c r="P1232" s="547"/>
      <c r="R1232" s="547"/>
      <c r="S1232" s="31">
        <v>0</v>
      </c>
      <c r="T1232" s="547"/>
      <c r="U1232" s="31">
        <v>1114</v>
      </c>
    </row>
    <row r="1233" spans="1:22" s="12" customFormat="1" ht="12.75">
      <c r="A1233" s="327"/>
      <c r="B1233" s="70" t="s">
        <v>766</v>
      </c>
      <c r="C1233" s="70"/>
      <c r="G1233" s="162"/>
      <c r="L1233" s="26">
        <v>1280</v>
      </c>
      <c r="M1233" s="52"/>
      <c r="N1233" s="425"/>
      <c r="O1233" s="52"/>
      <c r="P1233" s="547"/>
      <c r="Q1233" s="52">
        <v>1278</v>
      </c>
      <c r="R1233" s="430">
        <f>SUM(Q1233/L1233)*100</f>
        <v>99.84375</v>
      </c>
      <c r="S1233" s="52">
        <v>1278</v>
      </c>
      <c r="T1233" s="430">
        <f>SUM(S1233/L1233)*100</f>
        <v>99.84375</v>
      </c>
      <c r="U1233" s="52">
        <v>1278</v>
      </c>
      <c r="V1233" s="52"/>
    </row>
    <row r="1234" spans="1:21" ht="13.5" thickBot="1">
      <c r="A1234" s="364"/>
      <c r="B1234" s="77" t="s">
        <v>767</v>
      </c>
      <c r="C1234" s="77"/>
      <c r="D1234" s="19"/>
      <c r="E1234" s="19"/>
      <c r="F1234" s="19"/>
      <c r="G1234" s="369"/>
      <c r="H1234" s="19"/>
      <c r="I1234" s="19"/>
      <c r="J1234" s="19"/>
      <c r="K1234" s="19"/>
      <c r="L1234" s="27">
        <v>2761</v>
      </c>
      <c r="M1234" s="99"/>
      <c r="N1234" s="429"/>
      <c r="O1234" s="99"/>
      <c r="P1234" s="548"/>
      <c r="Q1234" s="411">
        <v>2745</v>
      </c>
      <c r="R1234" s="443">
        <f>SUM(Q1234/L1234)*100</f>
        <v>99.4204998189062</v>
      </c>
      <c r="S1234" s="411">
        <v>2745</v>
      </c>
      <c r="T1234" s="443">
        <f>SUM(S1234/L1234)*100</f>
        <v>99.4204998189062</v>
      </c>
      <c r="U1234" s="31">
        <v>2746</v>
      </c>
    </row>
    <row r="1236" ht="12.75">
      <c r="A1236" s="109" t="s">
        <v>611</v>
      </c>
    </row>
    <row r="1237" ht="12.75">
      <c r="A1237" t="s">
        <v>612</v>
      </c>
    </row>
    <row r="1238" ht="12.75">
      <c r="A1238" s="109" t="s">
        <v>613</v>
      </c>
    </row>
    <row r="1239" ht="13.5" thickBot="1"/>
    <row r="1240" spans="1:22" ht="13.5" thickBot="1">
      <c r="A1240" s="177" t="s">
        <v>44</v>
      </c>
      <c r="B1240" s="178"/>
      <c r="C1240" s="178"/>
      <c r="D1240" s="179"/>
      <c r="E1240" s="179"/>
      <c r="F1240" s="179"/>
      <c r="G1240" s="15" t="s">
        <v>23</v>
      </c>
      <c r="H1240" s="136"/>
      <c r="I1240" s="137" t="s">
        <v>395</v>
      </c>
      <c r="J1240" s="216"/>
      <c r="K1240" s="10" t="s">
        <v>25</v>
      </c>
      <c r="L1240" s="238" t="s">
        <v>645</v>
      </c>
      <c r="M1240" s="403" t="s">
        <v>296</v>
      </c>
      <c r="N1240" s="426" t="s">
        <v>684</v>
      </c>
      <c r="O1240" s="403" t="s">
        <v>296</v>
      </c>
      <c r="P1240" s="426" t="s">
        <v>683</v>
      </c>
      <c r="Q1240" s="403" t="s">
        <v>296</v>
      </c>
      <c r="R1240" s="426" t="s">
        <v>681</v>
      </c>
      <c r="S1240" s="403" t="s">
        <v>296</v>
      </c>
      <c r="T1240" s="421" t="s">
        <v>681</v>
      </c>
      <c r="U1240" s="403" t="s">
        <v>296</v>
      </c>
      <c r="V1240" s="421" t="s">
        <v>681</v>
      </c>
    </row>
    <row r="1241" spans="1:22" ht="16.5" thickTop="1">
      <c r="A1241" s="239" t="s">
        <v>186</v>
      </c>
      <c r="B1241" s="181" t="s">
        <v>187</v>
      </c>
      <c r="C1241" s="182"/>
      <c r="D1241" s="12"/>
      <c r="E1241" s="12"/>
      <c r="F1241" s="12"/>
      <c r="G1241" s="11" t="s">
        <v>45</v>
      </c>
      <c r="H1241" s="32" t="s">
        <v>27</v>
      </c>
      <c r="I1241" s="6" t="s">
        <v>92</v>
      </c>
      <c r="J1241" s="108" t="s">
        <v>29</v>
      </c>
      <c r="K1241" s="33" t="s">
        <v>46</v>
      </c>
      <c r="L1241" s="208"/>
      <c r="M1241" s="25" t="s">
        <v>297</v>
      </c>
      <c r="N1241" s="425"/>
      <c r="O1241" s="25" t="s">
        <v>750</v>
      </c>
      <c r="P1241" s="547"/>
      <c r="Q1241" s="25" t="s">
        <v>896</v>
      </c>
      <c r="R1241" s="547"/>
      <c r="S1241" s="25" t="s">
        <v>957</v>
      </c>
      <c r="T1241" s="422"/>
      <c r="U1241" s="25" t="s">
        <v>252</v>
      </c>
      <c r="V1241" s="422"/>
    </row>
    <row r="1242" spans="1:22" ht="13.5" thickBot="1">
      <c r="A1242" s="183"/>
      <c r="B1242" s="184"/>
      <c r="C1242" s="185"/>
      <c r="D1242" s="37"/>
      <c r="E1242" s="37"/>
      <c r="F1242" s="37"/>
      <c r="G1242" s="83"/>
      <c r="H1242" s="84">
        <v>38335</v>
      </c>
      <c r="I1242" s="148">
        <v>38587</v>
      </c>
      <c r="J1242" s="110" t="s">
        <v>31</v>
      </c>
      <c r="K1242" s="33" t="s">
        <v>32</v>
      </c>
      <c r="L1242" s="242"/>
      <c r="M1242" s="404"/>
      <c r="N1242" s="429"/>
      <c r="O1242" s="404"/>
      <c r="P1242" s="548"/>
      <c r="Q1242" s="404"/>
      <c r="R1242" s="548"/>
      <c r="S1242" s="404"/>
      <c r="T1242" s="423"/>
      <c r="U1242" s="404"/>
      <c r="V1242" s="423"/>
    </row>
    <row r="1243" spans="1:20" ht="13.5" thickBot="1">
      <c r="A1243" s="186" t="s">
        <v>47</v>
      </c>
      <c r="B1243" s="187"/>
      <c r="C1243" s="39"/>
      <c r="D1243" s="188" t="s">
        <v>48</v>
      </c>
      <c r="E1243" s="19"/>
      <c r="F1243" s="19"/>
      <c r="G1243" s="152">
        <v>1</v>
      </c>
      <c r="H1243" s="41">
        <v>2</v>
      </c>
      <c r="I1243" s="188">
        <v>3</v>
      </c>
      <c r="J1243" s="22">
        <v>4</v>
      </c>
      <c r="K1243" s="40">
        <v>1</v>
      </c>
      <c r="L1243" s="599">
        <v>1</v>
      </c>
      <c r="M1243" s="409"/>
      <c r="N1243" s="424"/>
      <c r="P1243" s="547"/>
      <c r="R1243" s="556"/>
      <c r="T1243" s="556"/>
    </row>
    <row r="1244" spans="1:21" ht="15">
      <c r="A1244" s="445"/>
      <c r="B1244" s="445" t="s">
        <v>228</v>
      </c>
      <c r="C1244" s="372"/>
      <c r="D1244" s="373"/>
      <c r="E1244" s="373"/>
      <c r="F1244" s="446"/>
      <c r="G1244" s="456">
        <f aca="true" t="shared" si="214" ref="G1244:U1244">G1246+G1251</f>
        <v>20404</v>
      </c>
      <c r="H1244" s="390">
        <f t="shared" si="214"/>
        <v>18253</v>
      </c>
      <c r="I1244" s="390">
        <f t="shared" si="214"/>
        <v>17264</v>
      </c>
      <c r="J1244" s="390">
        <f t="shared" si="214"/>
        <v>10378</v>
      </c>
      <c r="K1244" s="390">
        <f t="shared" si="214"/>
        <v>14469</v>
      </c>
      <c r="L1244" s="390">
        <f t="shared" si="214"/>
        <v>31844</v>
      </c>
      <c r="M1244" s="392">
        <f t="shared" si="214"/>
        <v>3292</v>
      </c>
      <c r="N1244" s="440">
        <f>SUM(M1244/L1244)*100</f>
        <v>10.33789724908931</v>
      </c>
      <c r="O1244" s="392">
        <f t="shared" si="214"/>
        <v>4390</v>
      </c>
      <c r="P1244" s="440">
        <f>SUM(O1244/L1244)*100</f>
        <v>13.78595653812335</v>
      </c>
      <c r="Q1244" s="392">
        <f t="shared" si="214"/>
        <v>6585</v>
      </c>
      <c r="R1244" s="567">
        <f>SUM(Q1244/L1244)*100</f>
        <v>20.678934807185026</v>
      </c>
      <c r="S1244" s="392">
        <f t="shared" si="214"/>
        <v>6585</v>
      </c>
      <c r="T1244" s="567">
        <f>SUM(S1244/L1244)*100</f>
        <v>20.678934807185026</v>
      </c>
      <c r="U1244" s="392">
        <f t="shared" si="214"/>
        <v>7682</v>
      </c>
    </row>
    <row r="1245" spans="1:22" s="275" customFormat="1" ht="15">
      <c r="A1245" s="98"/>
      <c r="B1245" s="98" t="s">
        <v>37</v>
      </c>
      <c r="C1245" s="63"/>
      <c r="D1245" s="63"/>
      <c r="E1245" s="63"/>
      <c r="F1245" s="62"/>
      <c r="G1245" s="517"/>
      <c r="H1245" s="61"/>
      <c r="I1245" s="61"/>
      <c r="J1245" s="61"/>
      <c r="K1245" s="61"/>
      <c r="L1245" s="64">
        <f>SUM(L1246)</f>
        <v>13169</v>
      </c>
      <c r="M1245" s="370"/>
      <c r="N1245" s="432"/>
      <c r="O1245" s="413">
        <f>SUM(O1246)</f>
        <v>4390</v>
      </c>
      <c r="P1245" s="432">
        <f>SUM(O1245/L1245)*100</f>
        <v>33.335864530336394</v>
      </c>
      <c r="Q1245" s="413">
        <f>SUM(Q1246)</f>
        <v>6585</v>
      </c>
      <c r="R1245" s="432">
        <f>SUM(Q1245/L1245)*100</f>
        <v>50.0037967955046</v>
      </c>
      <c r="S1245" s="413">
        <f>SUM(S1246)</f>
        <v>6585</v>
      </c>
      <c r="T1245" s="432">
        <f>SUM(S1245/L1245)*100</f>
        <v>50.0037967955046</v>
      </c>
      <c r="U1245" s="413">
        <f>SUM(U1246)</f>
        <v>7682</v>
      </c>
      <c r="V1245" s="370"/>
    </row>
    <row r="1246" spans="1:21" ht="12.75">
      <c r="A1246" s="199">
        <v>644</v>
      </c>
      <c r="B1246" s="199" t="s">
        <v>542</v>
      </c>
      <c r="C1246" s="49"/>
      <c r="D1246" s="12"/>
      <c r="E1246" s="12"/>
      <c r="F1246" s="13"/>
      <c r="G1246" s="319">
        <f aca="true" t="shared" si="215" ref="G1246:U1246">SUM(G1247:G1248)</f>
        <v>15944</v>
      </c>
      <c r="H1246" s="50">
        <f t="shared" si="215"/>
        <v>15253</v>
      </c>
      <c r="I1246" s="50">
        <f t="shared" si="215"/>
        <v>14264</v>
      </c>
      <c r="J1246" s="50">
        <f t="shared" si="215"/>
        <v>7378</v>
      </c>
      <c r="K1246" s="50">
        <f t="shared" si="215"/>
        <v>13169</v>
      </c>
      <c r="L1246" s="50">
        <f t="shared" si="215"/>
        <v>13169</v>
      </c>
      <c r="M1246" s="197">
        <f t="shared" si="215"/>
        <v>3292</v>
      </c>
      <c r="N1246" s="433">
        <f>SUM(M1246/L1246)*100</f>
        <v>24.9981016022477</v>
      </c>
      <c r="O1246" s="197">
        <f t="shared" si="215"/>
        <v>4390</v>
      </c>
      <c r="P1246" s="433">
        <f>SUM(O1246/L1246)*100</f>
        <v>33.335864530336394</v>
      </c>
      <c r="Q1246" s="197">
        <f t="shared" si="215"/>
        <v>6585</v>
      </c>
      <c r="R1246" s="433">
        <f>SUM(Q1246/L1246)*100</f>
        <v>50.0037967955046</v>
      </c>
      <c r="S1246" s="197">
        <f t="shared" si="215"/>
        <v>6585</v>
      </c>
      <c r="T1246" s="433">
        <f>SUM(S1246/L1246)*100</f>
        <v>50.0037967955046</v>
      </c>
      <c r="U1246" s="197">
        <f t="shared" si="215"/>
        <v>7682</v>
      </c>
    </row>
    <row r="1247" spans="1:21" ht="12.75">
      <c r="A1247" s="93">
        <v>644001</v>
      </c>
      <c r="B1247" s="93" t="s">
        <v>563</v>
      </c>
      <c r="C1247" s="55"/>
      <c r="D1247" s="12"/>
      <c r="E1247" s="12"/>
      <c r="F1247" s="13"/>
      <c r="G1247" s="335">
        <v>8950</v>
      </c>
      <c r="H1247" s="56">
        <v>8259</v>
      </c>
      <c r="I1247" s="56">
        <v>8259</v>
      </c>
      <c r="J1247" s="56">
        <v>4130</v>
      </c>
      <c r="K1247" s="26">
        <v>8000</v>
      </c>
      <c r="L1247" s="26">
        <v>8000</v>
      </c>
      <c r="M1247" s="31">
        <v>2000</v>
      </c>
      <c r="N1247" s="430">
        <f>SUM(M1247/L1247)*100</f>
        <v>25</v>
      </c>
      <c r="O1247" s="31">
        <v>2667</v>
      </c>
      <c r="P1247" s="430">
        <f>SUM(O1247/L1247)*100</f>
        <v>33.3375</v>
      </c>
      <c r="Q1247" s="31">
        <v>4000</v>
      </c>
      <c r="R1247" s="430">
        <f>SUM(Q1247/L1247)*100</f>
        <v>50</v>
      </c>
      <c r="S1247" s="31">
        <v>4000</v>
      </c>
      <c r="T1247" s="430">
        <f>SUM(S1247/L1247)*100</f>
        <v>50</v>
      </c>
      <c r="U1247" s="31">
        <v>4667</v>
      </c>
    </row>
    <row r="1248" spans="1:21" ht="12.75">
      <c r="A1248" s="93"/>
      <c r="B1248" s="93" t="s">
        <v>564</v>
      </c>
      <c r="C1248" s="55"/>
      <c r="D1248" s="12"/>
      <c r="E1248" s="12"/>
      <c r="F1248" s="13"/>
      <c r="G1248" s="335">
        <v>6994</v>
      </c>
      <c r="H1248" s="26">
        <v>6994</v>
      </c>
      <c r="I1248" s="26">
        <v>6005</v>
      </c>
      <c r="J1248" s="26">
        <v>3248</v>
      </c>
      <c r="K1248" s="26">
        <v>5169</v>
      </c>
      <c r="L1248" s="26">
        <v>5169</v>
      </c>
      <c r="M1248" s="31">
        <v>1292</v>
      </c>
      <c r="N1248" s="430">
        <f>SUM(M1248/L1248)*100</f>
        <v>24.995163474559874</v>
      </c>
      <c r="O1248" s="31">
        <v>1723</v>
      </c>
      <c r="P1248" s="430">
        <f>SUM(O1248/L1248)*100</f>
        <v>33.33333333333333</v>
      </c>
      <c r="Q1248" s="31">
        <v>2585</v>
      </c>
      <c r="R1248" s="430">
        <f>SUM(Q1248/L1248)*100</f>
        <v>50.009673050880245</v>
      </c>
      <c r="S1248" s="31">
        <v>2585</v>
      </c>
      <c r="T1248" s="430">
        <f>SUM(S1248/L1248)*100</f>
        <v>50.009673050880245</v>
      </c>
      <c r="U1248" s="31">
        <v>3015</v>
      </c>
    </row>
    <row r="1249" spans="1:20" ht="12.75">
      <c r="A1249" s="93"/>
      <c r="B1249" s="93"/>
      <c r="C1249" s="55"/>
      <c r="D1249" s="12"/>
      <c r="E1249" s="12"/>
      <c r="F1249" s="13"/>
      <c r="G1249" s="335"/>
      <c r="H1249" s="26"/>
      <c r="I1249" s="26"/>
      <c r="J1249" s="26"/>
      <c r="K1249" s="26"/>
      <c r="L1249" s="26"/>
      <c r="N1249" s="430"/>
      <c r="P1249" s="547"/>
      <c r="R1249" s="547"/>
      <c r="T1249" s="547"/>
    </row>
    <row r="1250" spans="1:22" s="275" customFormat="1" ht="15">
      <c r="A1250" s="98">
        <v>700</v>
      </c>
      <c r="B1250" s="98" t="s">
        <v>38</v>
      </c>
      <c r="C1250" s="63"/>
      <c r="D1250" s="63"/>
      <c r="E1250" s="63"/>
      <c r="F1250" s="62"/>
      <c r="G1250" s="517"/>
      <c r="H1250" s="61"/>
      <c r="I1250" s="61"/>
      <c r="J1250" s="61"/>
      <c r="K1250" s="61"/>
      <c r="L1250" s="64">
        <f>SUM(L1251)</f>
        <v>18675</v>
      </c>
      <c r="M1250" s="370"/>
      <c r="N1250" s="432"/>
      <c r="O1250" s="370"/>
      <c r="P1250" s="553"/>
      <c r="Q1250" s="370"/>
      <c r="R1250" s="553"/>
      <c r="S1250" s="370">
        <v>0</v>
      </c>
      <c r="T1250" s="553"/>
      <c r="U1250" s="370">
        <v>0</v>
      </c>
      <c r="V1250" s="370"/>
    </row>
    <row r="1251" spans="1:21" ht="12.75">
      <c r="A1251" s="199">
        <v>723</v>
      </c>
      <c r="B1251" s="199" t="s">
        <v>542</v>
      </c>
      <c r="C1251" s="49"/>
      <c r="D1251" s="12"/>
      <c r="E1251" s="12"/>
      <c r="F1251" s="13"/>
      <c r="G1251" s="336">
        <v>4460</v>
      </c>
      <c r="H1251" s="193">
        <v>3000</v>
      </c>
      <c r="I1251" s="193">
        <v>3000</v>
      </c>
      <c r="J1251" s="193">
        <v>3000</v>
      </c>
      <c r="K1251" s="193">
        <v>1300</v>
      </c>
      <c r="L1251" s="50">
        <f>SUM(L1252:L1260)</f>
        <v>18675</v>
      </c>
      <c r="M1251" s="389"/>
      <c r="N1251" s="430"/>
      <c r="P1251" s="547"/>
      <c r="R1251" s="547"/>
      <c r="S1251" s="121">
        <v>0</v>
      </c>
      <c r="T1251" s="547"/>
      <c r="U1251" s="121">
        <v>0</v>
      </c>
    </row>
    <row r="1252" spans="1:20" ht="12.75">
      <c r="A1252" s="93">
        <v>723001</v>
      </c>
      <c r="B1252" s="23" t="s">
        <v>565</v>
      </c>
      <c r="C1252" s="49"/>
      <c r="D1252" s="12"/>
      <c r="E1252" s="12"/>
      <c r="F1252" s="13"/>
      <c r="G1252" s="335"/>
      <c r="H1252" s="14"/>
      <c r="I1252" s="14"/>
      <c r="J1252" s="14"/>
      <c r="K1252" s="14"/>
      <c r="L1252" s="26"/>
      <c r="N1252" s="425"/>
      <c r="P1252" s="547"/>
      <c r="R1252" s="547"/>
      <c r="T1252" s="547"/>
    </row>
    <row r="1253" spans="1:20" ht="12.75">
      <c r="A1253" s="199"/>
      <c r="B1253" s="93" t="s">
        <v>566</v>
      </c>
      <c r="C1253" s="49"/>
      <c r="D1253" s="12"/>
      <c r="E1253" s="12"/>
      <c r="F1253" s="13"/>
      <c r="G1253" s="335"/>
      <c r="H1253" s="14"/>
      <c r="I1253" s="14"/>
      <c r="J1253" s="14"/>
      <c r="K1253" s="14"/>
      <c r="L1253" s="26">
        <v>300</v>
      </c>
      <c r="N1253" s="425"/>
      <c r="P1253" s="547"/>
      <c r="R1253" s="547"/>
      <c r="T1253" s="547"/>
    </row>
    <row r="1254" spans="1:20" ht="12.75">
      <c r="A1254" s="199"/>
      <c r="B1254" s="11" t="s">
        <v>567</v>
      </c>
      <c r="C1254" s="12"/>
      <c r="D1254" s="12"/>
      <c r="E1254" s="12"/>
      <c r="F1254" s="13"/>
      <c r="G1254" s="335"/>
      <c r="H1254" s="14"/>
      <c r="I1254" s="14"/>
      <c r="J1254" s="14"/>
      <c r="K1254" s="14"/>
      <c r="L1254" s="26">
        <v>1000</v>
      </c>
      <c r="M1254" s="416"/>
      <c r="N1254" s="425"/>
      <c r="O1254" s="416"/>
      <c r="P1254" s="547"/>
      <c r="R1254" s="547"/>
      <c r="T1254" s="547"/>
    </row>
    <row r="1255" spans="1:20" ht="12.75">
      <c r="A1255" s="66"/>
      <c r="B1255" s="12" t="s">
        <v>770</v>
      </c>
      <c r="C1255" s="12"/>
      <c r="D1255" s="12"/>
      <c r="E1255" s="12"/>
      <c r="F1255" s="12"/>
      <c r="G1255" s="162"/>
      <c r="H1255" s="12"/>
      <c r="I1255" s="12"/>
      <c r="J1255" s="12"/>
      <c r="K1255" s="12"/>
      <c r="L1255" s="26">
        <v>1390</v>
      </c>
      <c r="M1255" s="52"/>
      <c r="N1255" s="425"/>
      <c r="O1255" s="52"/>
      <c r="P1255" s="547"/>
      <c r="R1255" s="547"/>
      <c r="T1255" s="547"/>
    </row>
    <row r="1256" spans="1:20" ht="12.75">
      <c r="A1256" s="66"/>
      <c r="B1256" s="12" t="s">
        <v>769</v>
      </c>
      <c r="C1256" s="12"/>
      <c r="D1256" s="12"/>
      <c r="E1256" s="12"/>
      <c r="F1256" s="12"/>
      <c r="G1256" s="162"/>
      <c r="H1256" s="12"/>
      <c r="I1256" s="12"/>
      <c r="J1256" s="12"/>
      <c r="K1256" s="12"/>
      <c r="L1256" s="26">
        <v>622</v>
      </c>
      <c r="M1256" s="52"/>
      <c r="N1256" s="425"/>
      <c r="O1256" s="52"/>
      <c r="P1256" s="547"/>
      <c r="R1256" s="547"/>
      <c r="T1256" s="547"/>
    </row>
    <row r="1257" spans="1:20" ht="12.75">
      <c r="A1257" s="66"/>
      <c r="B1257" s="12" t="s">
        <v>771</v>
      </c>
      <c r="C1257" s="12"/>
      <c r="D1257" s="12"/>
      <c r="E1257" s="12"/>
      <c r="F1257" s="12"/>
      <c r="G1257" s="162"/>
      <c r="H1257" s="12"/>
      <c r="I1257" s="12"/>
      <c r="J1257" s="12"/>
      <c r="K1257" s="12"/>
      <c r="L1257" s="26">
        <v>563</v>
      </c>
      <c r="M1257" s="52"/>
      <c r="N1257" s="425"/>
      <c r="O1257" s="52"/>
      <c r="P1257" s="547"/>
      <c r="R1257" s="547"/>
      <c r="T1257" s="547"/>
    </row>
    <row r="1258" spans="1:20" ht="12.75">
      <c r="A1258" s="66"/>
      <c r="B1258" s="12" t="s">
        <v>772</v>
      </c>
      <c r="C1258" s="12"/>
      <c r="D1258" s="12"/>
      <c r="E1258" s="12"/>
      <c r="F1258" s="12"/>
      <c r="G1258" s="162"/>
      <c r="H1258" s="12"/>
      <c r="I1258" s="12"/>
      <c r="J1258" s="12"/>
      <c r="K1258" s="12"/>
      <c r="L1258" s="26">
        <v>2000</v>
      </c>
      <c r="M1258" s="52"/>
      <c r="N1258" s="425"/>
      <c r="O1258" s="52"/>
      <c r="P1258" s="547"/>
      <c r="R1258" s="547"/>
      <c r="T1258" s="547"/>
    </row>
    <row r="1259" spans="1:20" ht="12.75">
      <c r="A1259" s="66"/>
      <c r="B1259" s="12" t="s">
        <v>773</v>
      </c>
      <c r="C1259" s="12"/>
      <c r="D1259" s="12"/>
      <c r="E1259" s="12"/>
      <c r="F1259" s="12"/>
      <c r="G1259" s="162"/>
      <c r="H1259" s="12"/>
      <c r="I1259" s="12"/>
      <c r="J1259" s="12"/>
      <c r="K1259" s="12"/>
      <c r="L1259" s="26">
        <v>1300</v>
      </c>
      <c r="M1259" s="52"/>
      <c r="N1259" s="425"/>
      <c r="O1259" s="52"/>
      <c r="P1259" s="547"/>
      <c r="Q1259" s="416"/>
      <c r="R1259" s="547"/>
      <c r="T1259" s="547"/>
    </row>
    <row r="1260" spans="1:20" ht="13.5" thickBot="1">
      <c r="A1260" s="231"/>
      <c r="B1260" s="19" t="s">
        <v>955</v>
      </c>
      <c r="C1260" s="19"/>
      <c r="D1260" s="19"/>
      <c r="E1260" s="19"/>
      <c r="F1260" s="19"/>
      <c r="G1260" s="369"/>
      <c r="H1260" s="19"/>
      <c r="I1260" s="19"/>
      <c r="J1260" s="19"/>
      <c r="K1260" s="19"/>
      <c r="L1260" s="27">
        <v>11500</v>
      </c>
      <c r="M1260" s="99"/>
      <c r="N1260" s="678"/>
      <c r="O1260" s="99"/>
      <c r="P1260" s="19"/>
      <c r="Q1260" s="99"/>
      <c r="R1260" s="548"/>
      <c r="S1260" s="411"/>
      <c r="T1260" s="548"/>
    </row>
    <row r="1261" spans="1:16" ht="12.75">
      <c r="A1261" s="49"/>
      <c r="B1261" s="12"/>
      <c r="C1261" s="12"/>
      <c r="D1261" s="12"/>
      <c r="E1261" s="12"/>
      <c r="F1261" s="12"/>
      <c r="G1261" s="162"/>
      <c r="H1261" s="12"/>
      <c r="I1261" s="12"/>
      <c r="J1261" s="12"/>
      <c r="K1261" s="12"/>
      <c r="L1261" s="52"/>
      <c r="M1261" s="52"/>
      <c r="N1261" s="428"/>
      <c r="O1261" s="52"/>
      <c r="P1261" s="12"/>
    </row>
    <row r="1262" ht="12.75">
      <c r="A1262" t="s">
        <v>704</v>
      </c>
    </row>
    <row r="1264" spans="1:10" ht="15.75">
      <c r="A1264" s="325" t="s">
        <v>568</v>
      </c>
      <c r="B1264" s="1"/>
      <c r="C1264" s="1"/>
      <c r="H1264" s="12"/>
      <c r="I1264" s="12"/>
      <c r="J1264" s="12"/>
    </row>
    <row r="1265" spans="4:10" ht="13.5" thickBot="1">
      <c r="D1265" s="19"/>
      <c r="H1265" s="12"/>
      <c r="I1265" s="12"/>
      <c r="J1265" s="12"/>
    </row>
    <row r="1266" spans="1:22" ht="13.5" thickBot="1">
      <c r="A1266" s="177" t="s">
        <v>44</v>
      </c>
      <c r="B1266" s="178"/>
      <c r="C1266" s="178"/>
      <c r="D1266" s="179"/>
      <c r="E1266" s="179"/>
      <c r="F1266" s="179"/>
      <c r="G1266" s="15" t="s">
        <v>23</v>
      </c>
      <c r="H1266" s="136"/>
      <c r="I1266" s="137" t="s">
        <v>395</v>
      </c>
      <c r="J1266" s="216"/>
      <c r="K1266" s="10" t="s">
        <v>25</v>
      </c>
      <c r="L1266" s="238" t="s">
        <v>645</v>
      </c>
      <c r="M1266" s="403" t="s">
        <v>296</v>
      </c>
      <c r="N1266" s="426" t="s">
        <v>684</v>
      </c>
      <c r="O1266" s="403" t="s">
        <v>296</v>
      </c>
      <c r="P1266" s="426" t="s">
        <v>683</v>
      </c>
      <c r="Q1266" s="403" t="s">
        <v>296</v>
      </c>
      <c r="R1266" s="426" t="s">
        <v>681</v>
      </c>
      <c r="S1266" s="403" t="s">
        <v>296</v>
      </c>
      <c r="T1266" s="421" t="s">
        <v>681</v>
      </c>
      <c r="U1266" s="403" t="s">
        <v>296</v>
      </c>
      <c r="V1266" s="421" t="s">
        <v>681</v>
      </c>
    </row>
    <row r="1267" spans="1:22" ht="16.5" thickTop="1">
      <c r="A1267" s="239" t="s">
        <v>188</v>
      </c>
      <c r="B1267" s="181" t="s">
        <v>189</v>
      </c>
      <c r="C1267" s="217"/>
      <c r="D1267" s="12"/>
      <c r="E1267" s="12"/>
      <c r="F1267" s="12"/>
      <c r="G1267" s="11" t="s">
        <v>45</v>
      </c>
      <c r="H1267" s="32" t="s">
        <v>27</v>
      </c>
      <c r="I1267" s="6" t="s">
        <v>92</v>
      </c>
      <c r="J1267" s="108" t="s">
        <v>29</v>
      </c>
      <c r="K1267" s="33" t="s">
        <v>46</v>
      </c>
      <c r="L1267" s="208"/>
      <c r="M1267" s="25" t="s">
        <v>297</v>
      </c>
      <c r="N1267" s="425"/>
      <c r="O1267" s="25" t="s">
        <v>750</v>
      </c>
      <c r="P1267" s="547"/>
      <c r="Q1267" s="25" t="s">
        <v>896</v>
      </c>
      <c r="R1267" s="547"/>
      <c r="S1267" s="25" t="s">
        <v>957</v>
      </c>
      <c r="T1267" s="422"/>
      <c r="U1267" s="25" t="s">
        <v>252</v>
      </c>
      <c r="V1267" s="422"/>
    </row>
    <row r="1268" spans="1:22" ht="16.5" thickBot="1">
      <c r="A1268" s="323"/>
      <c r="B1268" s="280"/>
      <c r="C1268" s="281"/>
      <c r="D1268" s="37"/>
      <c r="E1268" s="37"/>
      <c r="F1268" s="37"/>
      <c r="G1268" s="83"/>
      <c r="H1268" s="84">
        <v>38335</v>
      </c>
      <c r="I1268" s="148">
        <v>38587</v>
      </c>
      <c r="J1268" s="110" t="s">
        <v>31</v>
      </c>
      <c r="K1268" s="33" t="s">
        <v>32</v>
      </c>
      <c r="L1268" s="242"/>
      <c r="M1268" s="404"/>
      <c r="N1268" s="429"/>
      <c r="O1268" s="404"/>
      <c r="P1268" s="548"/>
      <c r="Q1268" s="404"/>
      <c r="R1268" s="548"/>
      <c r="S1268" s="404"/>
      <c r="T1268" s="423"/>
      <c r="U1268" s="404"/>
      <c r="V1268" s="423"/>
    </row>
    <row r="1269" spans="1:20" ht="13.5" thickBot="1">
      <c r="A1269" s="186" t="s">
        <v>47</v>
      </c>
      <c r="B1269" s="187"/>
      <c r="C1269" s="39"/>
      <c r="D1269" s="188" t="s">
        <v>48</v>
      </c>
      <c r="E1269" s="19"/>
      <c r="F1269" s="19"/>
      <c r="G1269" s="152">
        <v>1</v>
      </c>
      <c r="H1269" s="41">
        <v>2</v>
      </c>
      <c r="I1269" s="188">
        <v>3</v>
      </c>
      <c r="J1269" s="22">
        <v>4</v>
      </c>
      <c r="K1269" s="40">
        <v>1</v>
      </c>
      <c r="L1269" s="599">
        <v>1</v>
      </c>
      <c r="M1269" s="409"/>
      <c r="N1269" s="424"/>
      <c r="P1269" s="547"/>
      <c r="R1269" s="556"/>
      <c r="T1269" s="556"/>
    </row>
    <row r="1270" spans="1:22" s="28" customFormat="1" ht="15.75" thickBot="1">
      <c r="A1270" s="371"/>
      <c r="B1270" s="372" t="s">
        <v>228</v>
      </c>
      <c r="C1270" s="372"/>
      <c r="D1270" s="373"/>
      <c r="E1270" s="373"/>
      <c r="F1270" s="373"/>
      <c r="G1270" s="390" t="e">
        <f>G1273+G1276+G1279+G1285+G1288+G1299+#REF!+G1282</f>
        <v>#REF!</v>
      </c>
      <c r="H1270" s="391" t="e">
        <f>H1273+H1276+H1279+H1282+H1285+H1288+H1299+#REF!</f>
        <v>#REF!</v>
      </c>
      <c r="I1270" s="390" t="e">
        <f>I1273+I1276+I1279+I1282+I1285+I1288+I1299+#REF!</f>
        <v>#REF!</v>
      </c>
      <c r="J1270" s="390" t="e">
        <f>J1273+J1276+J1279+J1282+J1285+J1288+J1299+#REF!</f>
        <v>#REF!</v>
      </c>
      <c r="K1270" s="390" t="e">
        <f>K1273+K1276+K1279+K1282+K1285+K1288+K1299+#REF!</f>
        <v>#REF!</v>
      </c>
      <c r="L1270" s="390">
        <f>L1273+L1276+L1279+L1282+L1285+L1288+L1299+L1304+L1307</f>
        <v>38251</v>
      </c>
      <c r="M1270" s="390">
        <f>M1273+M1276+M1279+M1282+M1285+M1288+M1299</f>
        <v>6655</v>
      </c>
      <c r="N1270" s="440">
        <f>SUM(M1270/L1270)*100</f>
        <v>17.398237954563278</v>
      </c>
      <c r="O1270" s="392">
        <f>O1273+O1276+O1279+O1282+O1285+O1288+O1299</f>
        <v>9404</v>
      </c>
      <c r="P1270" s="652">
        <f>SUM(O1270/L1270)*100</f>
        <v>24.584978170505345</v>
      </c>
      <c r="Q1270" s="392">
        <f>Q1273+Q1276+Q1279+Q1282+Q1285+Q1288+Q1299+Q1304+Q1307</f>
        <v>21676</v>
      </c>
      <c r="R1270" s="567">
        <f>SUM(Q1270/L1270)*100</f>
        <v>56.66779953465269</v>
      </c>
      <c r="S1270" s="392">
        <f>S1273+S1276+S1279+S1282+S1285+S1288+S1299+S1304+S1307</f>
        <v>22175</v>
      </c>
      <c r="T1270" s="567">
        <f>SUM(S1270/L1270)*100</f>
        <v>57.972340592402816</v>
      </c>
      <c r="U1270" s="392">
        <f>U1273+U1276+U1279+U1282+U1285+U1288+U1299+U1304+U1307</f>
        <v>24951</v>
      </c>
      <c r="V1270" s="783"/>
    </row>
    <row r="1271" spans="1:22" s="109" customFormat="1" ht="12.75">
      <c r="A1271" s="196"/>
      <c r="B1271" s="237" t="s">
        <v>37</v>
      </c>
      <c r="C1271" s="237"/>
      <c r="D1271" s="237"/>
      <c r="E1271" s="237"/>
      <c r="F1271" s="237"/>
      <c r="G1271" s="321"/>
      <c r="H1271" s="237"/>
      <c r="I1271" s="196"/>
      <c r="J1271" s="196"/>
      <c r="K1271" s="375"/>
      <c r="L1271" s="375">
        <f>SUM(L1273+L1276+L1279+L1282+L1285+L1288+L1299)</f>
        <v>30027</v>
      </c>
      <c r="M1271" s="121"/>
      <c r="N1271" s="431"/>
      <c r="O1271" s="121"/>
      <c r="P1271" s="550"/>
      <c r="Q1271" s="376"/>
      <c r="R1271" s="550"/>
      <c r="S1271" s="375">
        <f>SUM(S1273+S1276+S1279+S1282+S1285+S1288+S1299)</f>
        <v>14467</v>
      </c>
      <c r="T1271" s="550"/>
      <c r="U1271" s="375">
        <f>SUM(U1273+U1276+U1279+U1282+U1285+U1288+U1299)</f>
        <v>17243</v>
      </c>
      <c r="V1271" s="121"/>
    </row>
    <row r="1272" spans="1:22" s="109" customFormat="1" ht="12.75">
      <c r="A1272" s="196"/>
      <c r="B1272" s="237"/>
      <c r="C1272" s="237"/>
      <c r="D1272" s="237"/>
      <c r="E1272" s="237"/>
      <c r="F1272" s="237"/>
      <c r="G1272" s="321"/>
      <c r="H1272" s="237"/>
      <c r="I1272" s="196"/>
      <c r="J1272" s="196"/>
      <c r="K1272" s="375"/>
      <c r="L1272" s="375"/>
      <c r="M1272" s="121"/>
      <c r="N1272" s="431"/>
      <c r="O1272" s="121"/>
      <c r="P1272" s="550"/>
      <c r="Q1272" s="121"/>
      <c r="R1272" s="550"/>
      <c r="S1272" s="121"/>
      <c r="T1272" s="550"/>
      <c r="U1272" s="121"/>
      <c r="V1272" s="121"/>
    </row>
    <row r="1273" spans="1:21" ht="12.75">
      <c r="A1273" s="66">
        <v>632</v>
      </c>
      <c r="B1273" s="49" t="s">
        <v>569</v>
      </c>
      <c r="C1273" s="49"/>
      <c r="D1273" s="12"/>
      <c r="E1273" s="12"/>
      <c r="F1273" s="12"/>
      <c r="G1273" s="305">
        <f>SUM(G1274)</f>
        <v>74</v>
      </c>
      <c r="H1273" s="194">
        <f aca="true" t="shared" si="216" ref="H1273:U1273">H1274</f>
        <v>100</v>
      </c>
      <c r="I1273" s="193">
        <f t="shared" si="216"/>
        <v>100</v>
      </c>
      <c r="J1273" s="193">
        <f t="shared" si="216"/>
        <v>52</v>
      </c>
      <c r="K1273" s="193">
        <f t="shared" si="216"/>
        <v>100</v>
      </c>
      <c r="L1273" s="50">
        <f t="shared" si="216"/>
        <v>100</v>
      </c>
      <c r="M1273" s="197">
        <f t="shared" si="216"/>
        <v>72</v>
      </c>
      <c r="N1273" s="433">
        <f>SUM(M1273/L1273)*100</f>
        <v>72</v>
      </c>
      <c r="O1273" s="197">
        <f t="shared" si="216"/>
        <v>72</v>
      </c>
      <c r="P1273" s="433">
        <f>SUM(O1273/L1273)*100</f>
        <v>72</v>
      </c>
      <c r="Q1273" s="197">
        <f t="shared" si="216"/>
        <v>72</v>
      </c>
      <c r="R1273" s="433">
        <f>SUM(Q1273/L1273)*100</f>
        <v>72</v>
      </c>
      <c r="S1273" s="197">
        <f t="shared" si="216"/>
        <v>72</v>
      </c>
      <c r="T1273" s="433">
        <f>SUM(S1273/L1273)*100</f>
        <v>72</v>
      </c>
      <c r="U1273" s="197">
        <f t="shared" si="216"/>
        <v>72</v>
      </c>
    </row>
    <row r="1274" spans="1:22" s="131" customFormat="1" ht="12.75">
      <c r="A1274" s="71">
        <v>632001</v>
      </c>
      <c r="B1274" s="24" t="s">
        <v>570</v>
      </c>
      <c r="C1274" s="24"/>
      <c r="D1274" s="24"/>
      <c r="E1274" s="24"/>
      <c r="F1274" s="24"/>
      <c r="G1274" s="304">
        <v>74</v>
      </c>
      <c r="H1274" s="24">
        <v>100</v>
      </c>
      <c r="I1274" s="71">
        <v>100</v>
      </c>
      <c r="J1274" s="71">
        <v>52</v>
      </c>
      <c r="K1274" s="92">
        <v>100</v>
      </c>
      <c r="L1274" s="92">
        <v>100</v>
      </c>
      <c r="M1274" s="389">
        <v>72</v>
      </c>
      <c r="N1274" s="430">
        <f>SUM(M1274/L1274)*100</f>
        <v>72</v>
      </c>
      <c r="O1274" s="389">
        <v>72</v>
      </c>
      <c r="P1274" s="430">
        <f>SUM(O1274/L1274)*100</f>
        <v>72</v>
      </c>
      <c r="Q1274" s="389">
        <v>72</v>
      </c>
      <c r="R1274" s="430">
        <f>SUM(Q1274/L1274)*100</f>
        <v>72</v>
      </c>
      <c r="S1274" s="389">
        <v>72</v>
      </c>
      <c r="T1274" s="430">
        <f>SUM(S1274/L1274)*100</f>
        <v>72</v>
      </c>
      <c r="U1274" s="389">
        <v>72</v>
      </c>
      <c r="V1274" s="389"/>
    </row>
    <row r="1275" spans="1:20" ht="12.75">
      <c r="A1275" s="53"/>
      <c r="B1275" s="55"/>
      <c r="C1275" s="55"/>
      <c r="D1275" s="12"/>
      <c r="E1275" s="12"/>
      <c r="F1275" s="12"/>
      <c r="G1275" s="155"/>
      <c r="H1275" s="12"/>
      <c r="I1275" s="14"/>
      <c r="J1275" s="14"/>
      <c r="K1275" s="26"/>
      <c r="L1275" s="26"/>
      <c r="N1275" s="425"/>
      <c r="P1275" s="547"/>
      <c r="R1275" s="547"/>
      <c r="T1275" s="547"/>
    </row>
    <row r="1276" spans="1:20" ht="12.75">
      <c r="A1276" s="66">
        <v>633</v>
      </c>
      <c r="B1276" s="49" t="s">
        <v>461</v>
      </c>
      <c r="C1276" s="49"/>
      <c r="D1276" s="12"/>
      <c r="E1276" s="12"/>
      <c r="F1276" s="12"/>
      <c r="G1276" s="305">
        <f aca="true" t="shared" si="217" ref="G1276:L1276">SUM(G1277:G1277)</f>
        <v>29</v>
      </c>
      <c r="H1276" s="269">
        <f t="shared" si="217"/>
        <v>100</v>
      </c>
      <c r="I1276" s="302">
        <f t="shared" si="217"/>
        <v>100</v>
      </c>
      <c r="J1276" s="302">
        <f t="shared" si="217"/>
        <v>0</v>
      </c>
      <c r="K1276" s="302">
        <f t="shared" si="217"/>
        <v>110</v>
      </c>
      <c r="L1276" s="298">
        <f t="shared" si="217"/>
        <v>110</v>
      </c>
      <c r="N1276" s="425"/>
      <c r="P1276" s="547"/>
      <c r="R1276" s="547"/>
      <c r="T1276" s="547"/>
    </row>
    <row r="1277" spans="1:22" s="131" customFormat="1" ht="12.75">
      <c r="A1277" s="71">
        <v>633001</v>
      </c>
      <c r="B1277" s="24" t="s">
        <v>249</v>
      </c>
      <c r="C1277" s="24"/>
      <c r="D1277" s="24"/>
      <c r="E1277" s="24"/>
      <c r="F1277" s="24"/>
      <c r="G1277" s="304">
        <v>29</v>
      </c>
      <c r="H1277" s="24">
        <v>100</v>
      </c>
      <c r="I1277" s="71">
        <v>100</v>
      </c>
      <c r="J1277" s="71">
        <v>0</v>
      </c>
      <c r="K1277" s="92">
        <f>100+10</f>
        <v>110</v>
      </c>
      <c r="L1277" s="92">
        <f>100+10</f>
        <v>110</v>
      </c>
      <c r="M1277" s="389"/>
      <c r="N1277" s="430"/>
      <c r="O1277" s="389"/>
      <c r="P1277" s="549"/>
      <c r="Q1277" s="389"/>
      <c r="R1277" s="549"/>
      <c r="S1277" s="389"/>
      <c r="T1277" s="549"/>
      <c r="U1277" s="389"/>
      <c r="V1277" s="389"/>
    </row>
    <row r="1278" spans="1:20" ht="12.75">
      <c r="A1278" s="53"/>
      <c r="B1278" s="55"/>
      <c r="C1278" s="55"/>
      <c r="D1278" s="12"/>
      <c r="E1278" s="12"/>
      <c r="F1278" s="12"/>
      <c r="G1278" s="155"/>
      <c r="H1278" s="12"/>
      <c r="I1278" s="14"/>
      <c r="J1278" s="14"/>
      <c r="K1278" s="26"/>
      <c r="L1278" s="26"/>
      <c r="N1278" s="425"/>
      <c r="P1278" s="547"/>
      <c r="R1278" s="547"/>
      <c r="T1278" s="547"/>
    </row>
    <row r="1279" spans="1:21" ht="12.75">
      <c r="A1279" s="66">
        <v>635</v>
      </c>
      <c r="B1279" s="49" t="s">
        <v>277</v>
      </c>
      <c r="C1279" s="49"/>
      <c r="D1279" s="12"/>
      <c r="E1279" s="12"/>
      <c r="F1279" s="12"/>
      <c r="G1279" s="305">
        <f aca="true" t="shared" si="218" ref="G1279:U1279">SUM(G1280:G1280)</f>
        <v>3</v>
      </c>
      <c r="H1279" s="194">
        <f t="shared" si="218"/>
        <v>30</v>
      </c>
      <c r="I1279" s="193">
        <f t="shared" si="218"/>
        <v>30</v>
      </c>
      <c r="J1279" s="193">
        <f t="shared" si="218"/>
        <v>9</v>
      </c>
      <c r="K1279" s="193">
        <f t="shared" si="218"/>
        <v>100</v>
      </c>
      <c r="L1279" s="50">
        <f t="shared" si="218"/>
        <v>100</v>
      </c>
      <c r="M1279" s="197">
        <f t="shared" si="218"/>
        <v>1</v>
      </c>
      <c r="N1279" s="433">
        <f>SUM(M1279/L1279)*100</f>
        <v>1</v>
      </c>
      <c r="O1279" s="197">
        <f t="shared" si="218"/>
        <v>24</v>
      </c>
      <c r="P1279" s="433">
        <f>SUM(O1279/L1279)*100</f>
        <v>24</v>
      </c>
      <c r="Q1279" s="197">
        <f t="shared" si="218"/>
        <v>24</v>
      </c>
      <c r="R1279" s="433">
        <f>SUM(Q1279/L1279)*100</f>
        <v>24</v>
      </c>
      <c r="S1279" s="197">
        <f t="shared" si="218"/>
        <v>27</v>
      </c>
      <c r="T1279" s="433">
        <f>SUM(S1279/L1279)*100</f>
        <v>27</v>
      </c>
      <c r="U1279" s="197">
        <f t="shared" si="218"/>
        <v>28</v>
      </c>
    </row>
    <row r="1280" spans="1:22" s="131" customFormat="1" ht="12.75">
      <c r="A1280" s="71">
        <v>635006</v>
      </c>
      <c r="B1280" s="24" t="s">
        <v>282</v>
      </c>
      <c r="C1280" s="24"/>
      <c r="D1280" s="24"/>
      <c r="E1280" s="24"/>
      <c r="F1280" s="24"/>
      <c r="G1280" s="304">
        <v>3</v>
      </c>
      <c r="H1280" s="24">
        <v>30</v>
      </c>
      <c r="I1280" s="71">
        <v>30</v>
      </c>
      <c r="J1280" s="71">
        <v>9</v>
      </c>
      <c r="K1280" s="92">
        <v>100</v>
      </c>
      <c r="L1280" s="92">
        <v>100</v>
      </c>
      <c r="M1280" s="389">
        <v>1</v>
      </c>
      <c r="N1280" s="430">
        <f>SUM(M1280/L1280)*100</f>
        <v>1</v>
      </c>
      <c r="O1280" s="389">
        <v>24</v>
      </c>
      <c r="P1280" s="430">
        <f>SUM(O1280/L1280)*100</f>
        <v>24</v>
      </c>
      <c r="Q1280" s="389">
        <v>24</v>
      </c>
      <c r="R1280" s="430">
        <f>SUM(Q1280/L1280)*100</f>
        <v>24</v>
      </c>
      <c r="S1280" s="389">
        <v>27</v>
      </c>
      <c r="T1280" s="430">
        <f>SUM(S1280/L1280)*100</f>
        <v>27</v>
      </c>
      <c r="U1280" s="389">
        <v>28</v>
      </c>
      <c r="V1280" s="389"/>
    </row>
    <row r="1281" spans="1:20" ht="12.75">
      <c r="A1281" s="53"/>
      <c r="B1281" s="55"/>
      <c r="C1281" s="55"/>
      <c r="D1281" s="12"/>
      <c r="E1281" s="12"/>
      <c r="F1281" s="12"/>
      <c r="G1281" s="155"/>
      <c r="H1281" s="12"/>
      <c r="I1281" s="14"/>
      <c r="J1281" s="14"/>
      <c r="K1281" s="26"/>
      <c r="L1281" s="26"/>
      <c r="N1281" s="425"/>
      <c r="P1281" s="547"/>
      <c r="R1281" s="547"/>
      <c r="T1281" s="547"/>
    </row>
    <row r="1282" spans="1:21" ht="12.75">
      <c r="A1282" s="66">
        <v>636</v>
      </c>
      <c r="B1282" s="49" t="s">
        <v>284</v>
      </c>
      <c r="C1282" s="55"/>
      <c r="D1282" s="12"/>
      <c r="E1282" s="12"/>
      <c r="F1282" s="12"/>
      <c r="G1282" s="305">
        <f aca="true" t="shared" si="219" ref="G1282:U1282">SUM(G1283:G1283)</f>
        <v>758</v>
      </c>
      <c r="H1282" s="49">
        <f t="shared" si="219"/>
        <v>500</v>
      </c>
      <c r="I1282" s="66">
        <f t="shared" si="219"/>
        <v>500</v>
      </c>
      <c r="J1282" s="66">
        <f t="shared" si="219"/>
        <v>483</v>
      </c>
      <c r="K1282" s="50">
        <f t="shared" si="219"/>
        <v>683</v>
      </c>
      <c r="L1282" s="50">
        <f t="shared" si="219"/>
        <v>500</v>
      </c>
      <c r="M1282" s="197">
        <f t="shared" si="219"/>
        <v>453</v>
      </c>
      <c r="N1282" s="433">
        <f>SUM(M1282/L1282)*100</f>
        <v>90.60000000000001</v>
      </c>
      <c r="O1282" s="197">
        <f t="shared" si="219"/>
        <v>500</v>
      </c>
      <c r="P1282" s="433">
        <f>SUM(O1282/L1282)*100</f>
        <v>100</v>
      </c>
      <c r="Q1282" s="197">
        <f t="shared" si="219"/>
        <v>501</v>
      </c>
      <c r="R1282" s="433">
        <f>SUM(Q1282/L1282)*100</f>
        <v>100.2</v>
      </c>
      <c r="S1282" s="197">
        <f t="shared" si="219"/>
        <v>500</v>
      </c>
      <c r="T1282" s="433">
        <f>SUM(S1282/L1282)*100</f>
        <v>100</v>
      </c>
      <c r="U1282" s="197">
        <f t="shared" si="219"/>
        <v>500</v>
      </c>
    </row>
    <row r="1283" spans="1:22" s="131" customFormat="1" ht="12.75">
      <c r="A1283" s="71">
        <v>636001</v>
      </c>
      <c r="B1283" s="24" t="s">
        <v>571</v>
      </c>
      <c r="C1283" s="24"/>
      <c r="D1283" s="24"/>
      <c r="E1283" s="24"/>
      <c r="F1283" s="24"/>
      <c r="G1283" s="304">
        <v>758</v>
      </c>
      <c r="H1283" s="91">
        <v>500</v>
      </c>
      <c r="I1283" s="92">
        <v>500</v>
      </c>
      <c r="J1283" s="92">
        <v>483</v>
      </c>
      <c r="K1283" s="92">
        <v>683</v>
      </c>
      <c r="L1283" s="92">
        <v>500</v>
      </c>
      <c r="M1283" s="389">
        <v>453</v>
      </c>
      <c r="N1283" s="430">
        <f>SUM(M1283/L1283)*100</f>
        <v>90.60000000000001</v>
      </c>
      <c r="O1283" s="389">
        <v>500</v>
      </c>
      <c r="P1283" s="430">
        <f>SUM(O1283/L1283)*100</f>
        <v>100</v>
      </c>
      <c r="Q1283" s="389">
        <v>501</v>
      </c>
      <c r="R1283" s="430">
        <f>SUM(Q1283/L1283)*100</f>
        <v>100.2</v>
      </c>
      <c r="S1283" s="389">
        <v>500</v>
      </c>
      <c r="T1283" s="430">
        <f>SUM(S1283/L1283)*100</f>
        <v>100</v>
      </c>
      <c r="U1283" s="389">
        <v>500</v>
      </c>
      <c r="V1283" s="389"/>
    </row>
    <row r="1284" spans="1:20" ht="12.75">
      <c r="A1284" s="53"/>
      <c r="B1284" s="55"/>
      <c r="C1284" s="55"/>
      <c r="D1284" s="12"/>
      <c r="E1284" s="12"/>
      <c r="F1284" s="12"/>
      <c r="G1284" s="155"/>
      <c r="H1284" s="12"/>
      <c r="I1284" s="14"/>
      <c r="J1284" s="14"/>
      <c r="K1284" s="26"/>
      <c r="L1284" s="26"/>
      <c r="N1284" s="425"/>
      <c r="P1284" s="547"/>
      <c r="R1284" s="547"/>
      <c r="T1284" s="547"/>
    </row>
    <row r="1285" spans="1:21" ht="12.75">
      <c r="A1285" s="66">
        <v>637</v>
      </c>
      <c r="B1285" s="49" t="s">
        <v>288</v>
      </c>
      <c r="C1285" s="324"/>
      <c r="D1285" s="237"/>
      <c r="E1285" s="237"/>
      <c r="F1285" s="237"/>
      <c r="G1285" s="305">
        <v>0</v>
      </c>
      <c r="H1285" s="194">
        <f>H1286</f>
        <v>20</v>
      </c>
      <c r="I1285" s="193">
        <f>I1286</f>
        <v>20</v>
      </c>
      <c r="J1285" s="193">
        <f>J1286</f>
        <v>38</v>
      </c>
      <c r="K1285" s="193">
        <f>K1286</f>
        <v>40</v>
      </c>
      <c r="L1285" s="50">
        <f>L1286</f>
        <v>40</v>
      </c>
      <c r="M1285" s="389"/>
      <c r="N1285" s="430"/>
      <c r="P1285" s="547"/>
      <c r="Q1285" s="197">
        <f>Q1286</f>
        <v>27</v>
      </c>
      <c r="R1285" s="433">
        <f>SUM(Q1285/L1285)*100</f>
        <v>67.5</v>
      </c>
      <c r="S1285" s="197">
        <f>S1286</f>
        <v>27</v>
      </c>
      <c r="T1285" s="433">
        <f>SUM(S1285/L1285)*100</f>
        <v>67.5</v>
      </c>
      <c r="U1285" s="197">
        <f>U1286</f>
        <v>27</v>
      </c>
    </row>
    <row r="1286" spans="1:22" s="131" customFormat="1" ht="12.75">
      <c r="A1286" s="71">
        <v>637004</v>
      </c>
      <c r="B1286" s="24" t="s">
        <v>572</v>
      </c>
      <c r="C1286" s="24"/>
      <c r="D1286" s="24"/>
      <c r="E1286" s="24"/>
      <c r="F1286" s="24"/>
      <c r="G1286" s="304">
        <v>0</v>
      </c>
      <c r="H1286" s="24">
        <v>20</v>
      </c>
      <c r="I1286" s="71">
        <v>20</v>
      </c>
      <c r="J1286" s="71">
        <v>38</v>
      </c>
      <c r="K1286" s="92">
        <v>40</v>
      </c>
      <c r="L1286" s="92">
        <v>40</v>
      </c>
      <c r="M1286" s="389"/>
      <c r="N1286" s="430"/>
      <c r="O1286" s="389"/>
      <c r="P1286" s="549"/>
      <c r="Q1286" s="389">
        <v>27</v>
      </c>
      <c r="R1286" s="549"/>
      <c r="S1286" s="389">
        <v>27</v>
      </c>
      <c r="T1286" s="430">
        <f>SUM(S1286/L1286)*100</f>
        <v>67.5</v>
      </c>
      <c r="U1286" s="389">
        <v>27</v>
      </c>
      <c r="V1286" s="389"/>
    </row>
    <row r="1287" spans="1:20" ht="12.75">
      <c r="A1287" s="14"/>
      <c r="B1287" s="12"/>
      <c r="C1287" s="12"/>
      <c r="D1287" s="12"/>
      <c r="E1287" s="12"/>
      <c r="F1287" s="12"/>
      <c r="G1287" s="155"/>
      <c r="H1287" s="12"/>
      <c r="I1287" s="14"/>
      <c r="J1287" s="14"/>
      <c r="K1287" s="26"/>
      <c r="L1287" s="26"/>
      <c r="N1287" s="425"/>
      <c r="P1287" s="547"/>
      <c r="R1287" s="547"/>
      <c r="T1287" s="547"/>
    </row>
    <row r="1288" spans="1:21" ht="12.75">
      <c r="A1288" s="66">
        <v>642</v>
      </c>
      <c r="B1288" s="49" t="s">
        <v>380</v>
      </c>
      <c r="C1288" s="49"/>
      <c r="D1288" s="12"/>
      <c r="E1288" s="12"/>
      <c r="F1288" s="12"/>
      <c r="G1288" s="193" t="e">
        <f>SUM(G1289:G1293)+#REF!+#REF!</f>
        <v>#REF!</v>
      </c>
      <c r="H1288" s="194" t="e">
        <f>SUM(H1289:H1293)+#REF!+#REF!</f>
        <v>#REF!</v>
      </c>
      <c r="I1288" s="193" t="e">
        <f>SUM(I1289:I1293)+#REF!+#REF!</f>
        <v>#REF!</v>
      </c>
      <c r="J1288" s="193" t="e">
        <f>SUM(J1289:J1293)+#REF!+#REF!</f>
        <v>#REF!</v>
      </c>
      <c r="K1288" s="193" t="e">
        <f>SUM(K1289:K1293)+#REF!+#REF!</f>
        <v>#REF!</v>
      </c>
      <c r="L1288" s="50">
        <f>SUM(L1289+L1290+L1291+L1292+L1293+L1296+L1297)</f>
        <v>23389</v>
      </c>
      <c r="M1288" s="399">
        <f>SUM(M1289+M1290+M1291+M1292+M1293+M1296+M1297)</f>
        <v>5164</v>
      </c>
      <c r="N1288" s="433">
        <f>SUM(M1288/L1288)*100</f>
        <v>22.07875497028518</v>
      </c>
      <c r="O1288" s="399">
        <f>SUM(O1289+O1290+O1291+O1292+O1293+O1296+O1297)</f>
        <v>6879</v>
      </c>
      <c r="P1288" s="433">
        <f aca="true" t="shared" si="220" ref="P1288:P1293">SUM(O1288/L1288)*100</f>
        <v>29.411261704219932</v>
      </c>
      <c r="Q1288" s="399">
        <f>SUM(Q1289+Q1290+Q1291+Q1292+Q1293+Q1296+Q1297)</f>
        <v>10448</v>
      </c>
      <c r="R1288" s="433">
        <f aca="true" t="shared" si="221" ref="R1288:R1297">SUM(Q1288/L1288)*100</f>
        <v>44.67057163623926</v>
      </c>
      <c r="S1288" s="399">
        <f>SUM(S1289+S1290+S1291+S1292+S1293+S1296+S1297)</f>
        <v>10947</v>
      </c>
      <c r="T1288" s="433">
        <f aca="true" t="shared" si="222" ref="T1288:T1297">SUM(S1288/L1288)*100</f>
        <v>46.80405318739578</v>
      </c>
      <c r="U1288" s="399">
        <f>SUM(U1289+U1290+U1291+U1292+U1293+U1296+U1297)</f>
        <v>13722</v>
      </c>
    </row>
    <row r="1289" spans="1:22" s="131" customFormat="1" ht="12.75">
      <c r="A1289" s="71">
        <v>642002</v>
      </c>
      <c r="B1289" s="24" t="s">
        <v>573</v>
      </c>
      <c r="C1289" s="24"/>
      <c r="D1289" s="24"/>
      <c r="E1289" s="24"/>
      <c r="F1289" s="24"/>
      <c r="G1289" s="304">
        <v>5823</v>
      </c>
      <c r="H1289" s="91">
        <f>4521+3704</f>
        <v>8225</v>
      </c>
      <c r="I1289" s="92">
        <v>8843</v>
      </c>
      <c r="J1289" s="92">
        <v>4421</v>
      </c>
      <c r="K1289" s="92">
        <v>7544</v>
      </c>
      <c r="L1289" s="92">
        <v>7696</v>
      </c>
      <c r="M1289" s="389">
        <v>1658</v>
      </c>
      <c r="N1289" s="430">
        <f>SUM(M1289/L1289)*100</f>
        <v>21.543659043659044</v>
      </c>
      <c r="O1289" s="389">
        <v>2210</v>
      </c>
      <c r="P1289" s="430">
        <f t="shared" si="220"/>
        <v>28.716216216216218</v>
      </c>
      <c r="Q1289" s="389">
        <v>3582</v>
      </c>
      <c r="R1289" s="430">
        <f t="shared" si="221"/>
        <v>46.54365904365904</v>
      </c>
      <c r="S1289" s="389">
        <v>3582</v>
      </c>
      <c r="T1289" s="430">
        <f t="shared" si="222"/>
        <v>46.54365904365904</v>
      </c>
      <c r="U1289" s="389">
        <v>4267</v>
      </c>
      <c r="V1289" s="389"/>
    </row>
    <row r="1290" spans="1:22" s="131" customFormat="1" ht="12.75">
      <c r="A1290" s="71">
        <v>642002</v>
      </c>
      <c r="B1290" s="24" t="s">
        <v>574</v>
      </c>
      <c r="C1290" s="24"/>
      <c r="D1290" s="24"/>
      <c r="E1290" s="24"/>
      <c r="F1290" s="24"/>
      <c r="G1290" s="304"/>
      <c r="H1290" s="91"/>
      <c r="I1290" s="92"/>
      <c r="J1290" s="92"/>
      <c r="K1290" s="92">
        <v>4956</v>
      </c>
      <c r="L1290" s="92">
        <v>5136</v>
      </c>
      <c r="M1290" s="389">
        <v>1089</v>
      </c>
      <c r="N1290" s="430">
        <f>SUM(M1290/L1290)*100</f>
        <v>21.20327102803738</v>
      </c>
      <c r="O1290" s="389">
        <v>1452</v>
      </c>
      <c r="P1290" s="430">
        <f t="shared" si="220"/>
        <v>28.27102803738318</v>
      </c>
      <c r="Q1290" s="389">
        <v>2373</v>
      </c>
      <c r="R1290" s="430">
        <f t="shared" si="221"/>
        <v>46.203271028037385</v>
      </c>
      <c r="S1290" s="389">
        <v>2373</v>
      </c>
      <c r="T1290" s="430">
        <f t="shared" si="222"/>
        <v>46.203271028037385</v>
      </c>
      <c r="U1290" s="389">
        <v>2834</v>
      </c>
      <c r="V1290" s="389"/>
    </row>
    <row r="1291" spans="1:22" s="131" customFormat="1" ht="12.75">
      <c r="A1291" s="71">
        <v>642002</v>
      </c>
      <c r="B1291" s="24" t="s">
        <v>575</v>
      </c>
      <c r="C1291" s="24"/>
      <c r="D1291" s="24"/>
      <c r="E1291" s="24"/>
      <c r="F1291" s="24"/>
      <c r="G1291" s="304">
        <v>6679</v>
      </c>
      <c r="H1291" s="24">
        <f>4217</f>
        <v>4217</v>
      </c>
      <c r="I1291" s="92">
        <v>4533</v>
      </c>
      <c r="J1291" s="92">
        <v>1889</v>
      </c>
      <c r="K1291" s="92">
        <v>4533</v>
      </c>
      <c r="L1291" s="92">
        <v>4655</v>
      </c>
      <c r="M1291" s="389">
        <v>755</v>
      </c>
      <c r="N1291" s="430">
        <f>SUM(M1291/L1291)*100</f>
        <v>16.219119226638025</v>
      </c>
      <c r="O1291" s="389">
        <v>1511</v>
      </c>
      <c r="P1291" s="430">
        <f t="shared" si="220"/>
        <v>32.45972073039742</v>
      </c>
      <c r="Q1291" s="389">
        <v>1899</v>
      </c>
      <c r="R1291" s="430">
        <f t="shared" si="221"/>
        <v>40.79484425349087</v>
      </c>
      <c r="S1291" s="389">
        <v>2287</v>
      </c>
      <c r="T1291" s="430">
        <f t="shared" si="222"/>
        <v>49.129967776584316</v>
      </c>
      <c r="U1291" s="389">
        <v>2287</v>
      </c>
      <c r="V1291" s="389"/>
    </row>
    <row r="1292" spans="1:22" s="131" customFormat="1" ht="12.75">
      <c r="A1292" s="71">
        <v>642002</v>
      </c>
      <c r="B1292" s="24" t="s">
        <v>576</v>
      </c>
      <c r="C1292" s="24"/>
      <c r="D1292" s="24"/>
      <c r="E1292" s="24"/>
      <c r="F1292" s="24"/>
      <c r="G1292" s="304">
        <v>76</v>
      </c>
      <c r="H1292" s="24">
        <v>76</v>
      </c>
      <c r="I1292" s="71">
        <v>82</v>
      </c>
      <c r="J1292" s="71">
        <v>0</v>
      </c>
      <c r="K1292" s="92">
        <v>82</v>
      </c>
      <c r="L1292" s="92">
        <v>82</v>
      </c>
      <c r="M1292" s="389">
        <v>41</v>
      </c>
      <c r="N1292" s="430">
        <f>SUM(M1292/L1292)*100</f>
        <v>50</v>
      </c>
      <c r="O1292" s="389">
        <v>41</v>
      </c>
      <c r="P1292" s="430">
        <f t="shared" si="220"/>
        <v>50</v>
      </c>
      <c r="Q1292" s="389">
        <v>41</v>
      </c>
      <c r="R1292" s="430">
        <f t="shared" si="221"/>
        <v>50</v>
      </c>
      <c r="S1292" s="389">
        <v>41</v>
      </c>
      <c r="T1292" s="430">
        <f t="shared" si="222"/>
        <v>50</v>
      </c>
      <c r="U1292" s="389">
        <v>41</v>
      </c>
      <c r="V1292" s="389"/>
    </row>
    <row r="1293" spans="1:22" s="131" customFormat="1" ht="12.75">
      <c r="A1293" s="71">
        <v>642002</v>
      </c>
      <c r="B1293" s="24" t="s">
        <v>577</v>
      </c>
      <c r="C1293" s="24"/>
      <c r="D1293" s="24"/>
      <c r="E1293" s="24"/>
      <c r="F1293" s="24"/>
      <c r="G1293" s="304">
        <v>895</v>
      </c>
      <c r="H1293" s="24">
        <f>50+400</f>
        <v>450</v>
      </c>
      <c r="I1293" s="71">
        <v>356</v>
      </c>
      <c r="J1293" s="71">
        <v>216</v>
      </c>
      <c r="K1293" s="92">
        <v>0</v>
      </c>
      <c r="L1293" s="92">
        <f>SUM(L1294+L1295)</f>
        <v>820</v>
      </c>
      <c r="M1293" s="389">
        <v>21</v>
      </c>
      <c r="N1293" s="430"/>
      <c r="O1293" s="389">
        <v>65</v>
      </c>
      <c r="P1293" s="430">
        <f t="shared" si="220"/>
        <v>7.926829268292683</v>
      </c>
      <c r="Q1293" s="206">
        <f>SUM(Q1294+Q1295)</f>
        <v>353</v>
      </c>
      <c r="R1293" s="430">
        <f t="shared" si="221"/>
        <v>43.048780487804876</v>
      </c>
      <c r="S1293" s="206">
        <f>SUM(S1294+S1295)</f>
        <v>464</v>
      </c>
      <c r="T1293" s="430">
        <f t="shared" si="222"/>
        <v>56.58536585365853</v>
      </c>
      <c r="U1293" s="206">
        <f>SUM(U1294+U1295)</f>
        <v>493</v>
      </c>
      <c r="V1293" s="389"/>
    </row>
    <row r="1294" spans="1:22" s="88" customFormat="1" ht="12.75">
      <c r="A1294" s="204"/>
      <c r="B1294" s="331" t="s">
        <v>774</v>
      </c>
      <c r="C1294" s="203"/>
      <c r="D1294" s="55"/>
      <c r="E1294" s="55"/>
      <c r="F1294" s="55"/>
      <c r="G1294" s="645"/>
      <c r="H1294" s="55"/>
      <c r="I1294" s="53"/>
      <c r="J1294" s="53"/>
      <c r="K1294" s="56"/>
      <c r="L1294" s="56">
        <v>620</v>
      </c>
      <c r="M1294" s="397">
        <v>21</v>
      </c>
      <c r="N1294" s="434"/>
      <c r="O1294" s="397">
        <v>65</v>
      </c>
      <c r="P1294" s="554"/>
      <c r="Q1294" s="397">
        <v>153</v>
      </c>
      <c r="R1294" s="434">
        <f t="shared" si="221"/>
        <v>24.677419354838708</v>
      </c>
      <c r="S1294" s="397">
        <v>264</v>
      </c>
      <c r="T1294" s="434">
        <f t="shared" si="222"/>
        <v>42.58064516129032</v>
      </c>
      <c r="U1294" s="397">
        <v>293</v>
      </c>
      <c r="V1294" s="397"/>
    </row>
    <row r="1295" spans="1:22" s="88" customFormat="1" ht="12.75">
      <c r="A1295" s="204"/>
      <c r="B1295" s="331" t="s">
        <v>775</v>
      </c>
      <c r="C1295" s="203"/>
      <c r="D1295" s="55"/>
      <c r="E1295" s="55"/>
      <c r="F1295" s="55"/>
      <c r="G1295" s="645"/>
      <c r="H1295" s="55"/>
      <c r="I1295" s="53"/>
      <c r="J1295" s="53"/>
      <c r="K1295" s="56"/>
      <c r="L1295" s="56">
        <v>200</v>
      </c>
      <c r="M1295" s="397"/>
      <c r="N1295" s="434"/>
      <c r="O1295" s="397"/>
      <c r="P1295" s="554"/>
      <c r="Q1295" s="397">
        <v>200</v>
      </c>
      <c r="R1295" s="434">
        <f t="shared" si="221"/>
        <v>100</v>
      </c>
      <c r="S1295" s="397">
        <v>200</v>
      </c>
      <c r="T1295" s="434">
        <f t="shared" si="222"/>
        <v>100</v>
      </c>
      <c r="U1295" s="397">
        <v>200</v>
      </c>
      <c r="V1295" s="397"/>
    </row>
    <row r="1296" spans="1:21" ht="12.75">
      <c r="A1296" s="67"/>
      <c r="B1296" s="70" t="s">
        <v>651</v>
      </c>
      <c r="C1296" s="70"/>
      <c r="D1296" s="12"/>
      <c r="E1296" s="12"/>
      <c r="F1296" s="12"/>
      <c r="G1296" s="307"/>
      <c r="H1296" s="12"/>
      <c r="I1296" s="14"/>
      <c r="J1296" s="14"/>
      <c r="K1296" s="26"/>
      <c r="L1296" s="26">
        <v>3000</v>
      </c>
      <c r="M1296" s="31">
        <v>600</v>
      </c>
      <c r="N1296" s="425"/>
      <c r="O1296" s="31">
        <v>600</v>
      </c>
      <c r="P1296" s="547"/>
      <c r="Q1296" s="31">
        <v>1200</v>
      </c>
      <c r="R1296" s="430">
        <f t="shared" si="221"/>
        <v>40</v>
      </c>
      <c r="S1296" s="31">
        <v>1200</v>
      </c>
      <c r="T1296" s="430">
        <f t="shared" si="222"/>
        <v>40</v>
      </c>
      <c r="U1296" s="31">
        <v>1800</v>
      </c>
    </row>
    <row r="1297" spans="1:21" ht="12.75">
      <c r="A1297" s="67"/>
      <c r="B1297" s="70" t="s">
        <v>652</v>
      </c>
      <c r="C1297" s="70"/>
      <c r="D1297" s="12"/>
      <c r="E1297" s="12"/>
      <c r="F1297" s="12"/>
      <c r="G1297" s="307"/>
      <c r="H1297" s="12"/>
      <c r="I1297" s="14"/>
      <c r="J1297" s="14"/>
      <c r="K1297" s="26"/>
      <c r="L1297" s="26">
        <v>2000</v>
      </c>
      <c r="M1297" s="31">
        <v>1000</v>
      </c>
      <c r="N1297" s="425"/>
      <c r="O1297" s="31">
        <v>1000</v>
      </c>
      <c r="P1297" s="547"/>
      <c r="Q1297" s="31">
        <v>1000</v>
      </c>
      <c r="R1297" s="430">
        <f t="shared" si="221"/>
        <v>50</v>
      </c>
      <c r="S1297" s="31">
        <v>1000</v>
      </c>
      <c r="T1297" s="430">
        <f t="shared" si="222"/>
        <v>50</v>
      </c>
      <c r="U1297" s="31">
        <v>2000</v>
      </c>
    </row>
    <row r="1298" spans="1:20" ht="12.75">
      <c r="A1298" s="67"/>
      <c r="B1298" s="69"/>
      <c r="C1298" s="70"/>
      <c r="D1298" s="12"/>
      <c r="E1298" s="12"/>
      <c r="F1298" s="12"/>
      <c r="G1298" s="155"/>
      <c r="H1298" s="12"/>
      <c r="I1298" s="14"/>
      <c r="J1298" s="14"/>
      <c r="K1298" s="26"/>
      <c r="L1298" s="26"/>
      <c r="N1298" s="425"/>
      <c r="P1298" s="547"/>
      <c r="R1298" s="547"/>
      <c r="T1298" s="547"/>
    </row>
    <row r="1299" spans="1:21" ht="12.75">
      <c r="A1299" s="66">
        <v>644</v>
      </c>
      <c r="B1299" s="49" t="s">
        <v>542</v>
      </c>
      <c r="C1299" s="337"/>
      <c r="D1299" s="12"/>
      <c r="E1299" s="12"/>
      <c r="F1299" s="12"/>
      <c r="G1299" s="305">
        <f aca="true" t="shared" si="223" ref="G1299:U1299">SUM(G1300:G1300)</f>
        <v>0</v>
      </c>
      <c r="H1299" s="51">
        <f t="shared" si="223"/>
        <v>3800</v>
      </c>
      <c r="I1299" s="50">
        <f t="shared" si="223"/>
        <v>3500</v>
      </c>
      <c r="J1299" s="50">
        <f t="shared" si="223"/>
        <v>1000</v>
      </c>
      <c r="K1299" s="50">
        <f t="shared" si="223"/>
        <v>5788</v>
      </c>
      <c r="L1299" s="50">
        <f t="shared" si="223"/>
        <v>5788</v>
      </c>
      <c r="M1299" s="50">
        <f t="shared" si="223"/>
        <v>965</v>
      </c>
      <c r="N1299" s="433">
        <f>SUM(M1299/L1299)*100</f>
        <v>16.67242570836213</v>
      </c>
      <c r="O1299" s="197">
        <f t="shared" si="223"/>
        <v>1929</v>
      </c>
      <c r="P1299" s="433">
        <f>SUM(O1299/L1299)*100</f>
        <v>33.32757429163787</v>
      </c>
      <c r="Q1299" s="197">
        <f t="shared" si="223"/>
        <v>2897</v>
      </c>
      <c r="R1299" s="433">
        <f>SUM(Q1299/L1299)*100</f>
        <v>50.05183137525916</v>
      </c>
      <c r="S1299" s="197">
        <f t="shared" si="223"/>
        <v>2894</v>
      </c>
      <c r="T1299" s="433">
        <f>SUM(S1299/L1299)*100</f>
        <v>50</v>
      </c>
      <c r="U1299" s="197">
        <f t="shared" si="223"/>
        <v>2894</v>
      </c>
    </row>
    <row r="1300" spans="1:21" ht="12.75">
      <c r="A1300" s="71"/>
      <c r="B1300" s="70" t="s">
        <v>578</v>
      </c>
      <c r="C1300" s="70"/>
      <c r="D1300" s="12"/>
      <c r="E1300" s="12"/>
      <c r="F1300" s="12"/>
      <c r="G1300" s="155">
        <v>0</v>
      </c>
      <c r="H1300" s="52">
        <f>5000-1200</f>
        <v>3800</v>
      </c>
      <c r="I1300" s="26">
        <v>3500</v>
      </c>
      <c r="J1300" s="26">
        <v>1000</v>
      </c>
      <c r="K1300" s="26">
        <v>5788</v>
      </c>
      <c r="L1300" s="26">
        <v>5788</v>
      </c>
      <c r="M1300" s="31">
        <v>965</v>
      </c>
      <c r="N1300" s="430">
        <f>SUM(M1300/L1300)*100</f>
        <v>16.67242570836213</v>
      </c>
      <c r="O1300" s="31">
        <v>1929</v>
      </c>
      <c r="P1300" s="430">
        <f>SUM(O1300/L1300)*100</f>
        <v>33.32757429163787</v>
      </c>
      <c r="Q1300" s="31">
        <v>2897</v>
      </c>
      <c r="R1300" s="430">
        <f>SUM(Q1300/L1300)*100</f>
        <v>50.05183137525916</v>
      </c>
      <c r="S1300" s="31">
        <v>2894</v>
      </c>
      <c r="T1300" s="430">
        <f>SUM(S1300/L1300)*100</f>
        <v>50</v>
      </c>
      <c r="U1300" s="31">
        <v>2894</v>
      </c>
    </row>
    <row r="1301" spans="1:20" ht="12.75">
      <c r="A1301" s="71"/>
      <c r="B1301" s="70"/>
      <c r="C1301" s="70"/>
      <c r="D1301" s="12"/>
      <c r="E1301" s="12"/>
      <c r="F1301" s="12"/>
      <c r="G1301" s="155"/>
      <c r="H1301" s="52"/>
      <c r="I1301" s="26"/>
      <c r="J1301" s="26"/>
      <c r="K1301" s="26"/>
      <c r="L1301" s="26"/>
      <c r="N1301" s="430"/>
      <c r="P1301" s="430"/>
      <c r="R1301" s="547"/>
      <c r="T1301" s="547"/>
    </row>
    <row r="1302" spans="1:21" ht="15">
      <c r="A1302" s="98">
        <v>700</v>
      </c>
      <c r="B1302" s="98" t="s">
        <v>38</v>
      </c>
      <c r="C1302" s="63"/>
      <c r="D1302" s="63"/>
      <c r="E1302" s="63"/>
      <c r="F1302" s="62"/>
      <c r="G1302" s="155"/>
      <c r="H1302" s="52"/>
      <c r="I1302" s="26"/>
      <c r="J1302" s="26"/>
      <c r="K1302" s="26"/>
      <c r="L1302" s="375">
        <f>SUM(L1304+L1307)</f>
        <v>8224</v>
      </c>
      <c r="M1302" s="121"/>
      <c r="N1302" s="431"/>
      <c r="O1302" s="121"/>
      <c r="P1302" s="431"/>
      <c r="Q1302" s="121"/>
      <c r="R1302" s="550"/>
      <c r="S1302" s="376">
        <f>SUM(S1304+S1307)</f>
        <v>7708</v>
      </c>
      <c r="T1302" s="431">
        <f>SUM(S1302/L1302)*100</f>
        <v>93.72568093385215</v>
      </c>
      <c r="U1302" s="376">
        <f>SUM(U1304+U1307)</f>
        <v>7708</v>
      </c>
    </row>
    <row r="1303" spans="1:20" ht="12.75">
      <c r="A1303" s="71"/>
      <c r="B1303" s="70"/>
      <c r="C1303" s="70"/>
      <c r="D1303" s="12"/>
      <c r="E1303" s="12"/>
      <c r="F1303" s="12"/>
      <c r="G1303" s="155"/>
      <c r="H1303" s="52"/>
      <c r="I1303" s="26"/>
      <c r="J1303" s="26"/>
      <c r="K1303" s="26"/>
      <c r="L1303" s="26"/>
      <c r="N1303" s="430"/>
      <c r="P1303" s="430"/>
      <c r="R1303" s="547"/>
      <c r="T1303" s="547"/>
    </row>
    <row r="1304" spans="1:22" s="130" customFormat="1" ht="12.75">
      <c r="A1304" s="66">
        <v>712001</v>
      </c>
      <c r="B1304" s="539" t="s">
        <v>776</v>
      </c>
      <c r="C1304" s="539"/>
      <c r="D1304" s="49"/>
      <c r="E1304" s="49"/>
      <c r="F1304" s="49"/>
      <c r="G1304" s="298"/>
      <c r="H1304" s="51"/>
      <c r="I1304" s="50"/>
      <c r="J1304" s="50"/>
      <c r="K1304" s="50"/>
      <c r="L1304" s="50">
        <v>5530</v>
      </c>
      <c r="M1304" s="399"/>
      <c r="N1304" s="433"/>
      <c r="O1304" s="399"/>
      <c r="P1304" s="433"/>
      <c r="Q1304" s="197">
        <v>5013</v>
      </c>
      <c r="R1304" s="433">
        <f>SUM(Q1304/L1304)*100</f>
        <v>90.6509945750452</v>
      </c>
      <c r="S1304" s="197">
        <v>5014</v>
      </c>
      <c r="T1304" s="433">
        <f>SUM(S1304/L1304)*100</f>
        <v>90.66907775768536</v>
      </c>
      <c r="U1304" s="399">
        <v>5014</v>
      </c>
      <c r="V1304" s="399"/>
    </row>
    <row r="1305" spans="1:21" ht="12.75">
      <c r="A1305" s="71"/>
      <c r="B1305" s="70" t="s">
        <v>777</v>
      </c>
      <c r="C1305" s="70"/>
      <c r="D1305" s="12"/>
      <c r="E1305" s="12"/>
      <c r="F1305" s="12"/>
      <c r="G1305" s="155"/>
      <c r="H1305" s="52"/>
      <c r="I1305" s="26"/>
      <c r="J1305" s="26"/>
      <c r="K1305" s="26"/>
      <c r="L1305" s="26">
        <v>5530</v>
      </c>
      <c r="N1305" s="430"/>
      <c r="P1305" s="430"/>
      <c r="Q1305" s="31">
        <v>5013</v>
      </c>
      <c r="R1305" s="430">
        <f>SUM(Q1305/L1305)*100</f>
        <v>90.6509945750452</v>
      </c>
      <c r="S1305" s="31">
        <v>5014</v>
      </c>
      <c r="T1305" s="430">
        <f>SUM(S1305/L1305)*100</f>
        <v>90.66907775768536</v>
      </c>
      <c r="U1305" s="31">
        <v>5014</v>
      </c>
    </row>
    <row r="1306" spans="1:20" ht="12.75">
      <c r="A1306" s="71"/>
      <c r="B1306" s="70"/>
      <c r="C1306" s="70"/>
      <c r="D1306" s="12"/>
      <c r="E1306" s="12"/>
      <c r="F1306" s="12"/>
      <c r="G1306" s="155"/>
      <c r="H1306" s="52"/>
      <c r="I1306" s="26"/>
      <c r="J1306" s="26"/>
      <c r="K1306" s="26"/>
      <c r="L1306" s="26"/>
      <c r="N1306" s="430"/>
      <c r="P1306" s="430"/>
      <c r="R1306" s="547"/>
      <c r="T1306" s="547"/>
    </row>
    <row r="1307" spans="1:22" s="130" customFormat="1" ht="12.75">
      <c r="A1307" s="66">
        <v>723</v>
      </c>
      <c r="B1307" s="539" t="s">
        <v>526</v>
      </c>
      <c r="C1307" s="539"/>
      <c r="D1307" s="49"/>
      <c r="E1307" s="49"/>
      <c r="F1307" s="49"/>
      <c r="G1307" s="298"/>
      <c r="H1307" s="51"/>
      <c r="I1307" s="50"/>
      <c r="J1307" s="50"/>
      <c r="K1307" s="50"/>
      <c r="L1307" s="50">
        <f>SUM(L1308:L1312)</f>
        <v>2694</v>
      </c>
      <c r="M1307" s="399"/>
      <c r="N1307" s="433"/>
      <c r="O1307" s="399"/>
      <c r="P1307" s="433"/>
      <c r="Q1307" s="197">
        <f>SUM(Q1308:Q1312)</f>
        <v>2694</v>
      </c>
      <c r="R1307" s="433">
        <f aca="true" t="shared" si="224" ref="R1307:R1312">SUM(Q1307/L1307)*100</f>
        <v>100</v>
      </c>
      <c r="S1307" s="197">
        <f>SUM(S1308:S1312)</f>
        <v>2694</v>
      </c>
      <c r="T1307" s="433">
        <f aca="true" t="shared" si="225" ref="T1307:T1312">SUM(S1307/L1307)*100</f>
        <v>100</v>
      </c>
      <c r="U1307" s="197">
        <f>SUM(U1308:U1312)</f>
        <v>2694</v>
      </c>
      <c r="V1307" s="399"/>
    </row>
    <row r="1308" spans="1:21" ht="12.75">
      <c r="A1308" s="71">
        <v>723001</v>
      </c>
      <c r="B1308" s="70" t="s">
        <v>778</v>
      </c>
      <c r="C1308" s="70"/>
      <c r="D1308" s="12"/>
      <c r="E1308" s="12"/>
      <c r="F1308" s="12"/>
      <c r="G1308" s="155"/>
      <c r="H1308" s="52"/>
      <c r="I1308" s="26"/>
      <c r="J1308" s="26"/>
      <c r="K1308" s="26"/>
      <c r="L1308" s="26">
        <v>142</v>
      </c>
      <c r="N1308" s="430"/>
      <c r="P1308" s="430"/>
      <c r="Q1308" s="31">
        <v>142</v>
      </c>
      <c r="R1308" s="430">
        <f t="shared" si="224"/>
        <v>100</v>
      </c>
      <c r="S1308" s="31">
        <v>142</v>
      </c>
      <c r="T1308" s="430">
        <f t="shared" si="225"/>
        <v>100</v>
      </c>
      <c r="U1308" s="31">
        <v>142</v>
      </c>
    </row>
    <row r="1309" spans="1:21" ht="12.75">
      <c r="A1309" s="71"/>
      <c r="B1309" s="70" t="s">
        <v>779</v>
      </c>
      <c r="C1309" s="70"/>
      <c r="D1309" s="12"/>
      <c r="E1309" s="12"/>
      <c r="F1309" s="12"/>
      <c r="G1309" s="155"/>
      <c r="H1309" s="52"/>
      <c r="I1309" s="26"/>
      <c r="J1309" s="26"/>
      <c r="K1309" s="26"/>
      <c r="L1309" s="26">
        <v>700</v>
      </c>
      <c r="N1309" s="430"/>
      <c r="P1309" s="430"/>
      <c r="Q1309" s="31">
        <v>700</v>
      </c>
      <c r="R1309" s="430">
        <f t="shared" si="224"/>
        <v>100</v>
      </c>
      <c r="S1309" s="31">
        <v>700</v>
      </c>
      <c r="T1309" s="430">
        <f t="shared" si="225"/>
        <v>100</v>
      </c>
      <c r="U1309" s="31">
        <v>700</v>
      </c>
    </row>
    <row r="1310" spans="1:21" ht="12.75">
      <c r="A1310" s="71"/>
      <c r="B1310" s="70" t="s">
        <v>780</v>
      </c>
      <c r="C1310" s="70"/>
      <c r="D1310" s="12"/>
      <c r="E1310" s="12"/>
      <c r="F1310" s="12"/>
      <c r="G1310" s="155"/>
      <c r="H1310" s="52"/>
      <c r="I1310" s="26"/>
      <c r="J1310" s="26"/>
      <c r="K1310" s="26"/>
      <c r="L1310" s="26">
        <v>1000</v>
      </c>
      <c r="N1310" s="430"/>
      <c r="P1310" s="430"/>
      <c r="Q1310" s="31">
        <v>1000</v>
      </c>
      <c r="R1310" s="430">
        <f t="shared" si="224"/>
        <v>100</v>
      </c>
      <c r="S1310" s="31">
        <v>1000</v>
      </c>
      <c r="T1310" s="430">
        <f t="shared" si="225"/>
        <v>100</v>
      </c>
      <c r="U1310" s="31">
        <v>1000</v>
      </c>
    </row>
    <row r="1311" spans="1:21" ht="12.75">
      <c r="A1311" s="71"/>
      <c r="B1311" s="70" t="s">
        <v>781</v>
      </c>
      <c r="C1311" s="70"/>
      <c r="D1311" s="12"/>
      <c r="E1311" s="12"/>
      <c r="F1311" s="12"/>
      <c r="G1311" s="155"/>
      <c r="H1311" s="52"/>
      <c r="I1311" s="26"/>
      <c r="J1311" s="26"/>
      <c r="K1311" s="26"/>
      <c r="L1311" s="26">
        <v>252</v>
      </c>
      <c r="N1311" s="430"/>
      <c r="P1311" s="430"/>
      <c r="Q1311" s="31">
        <v>252</v>
      </c>
      <c r="R1311" s="430">
        <f t="shared" si="224"/>
        <v>100</v>
      </c>
      <c r="S1311" s="31">
        <v>252</v>
      </c>
      <c r="T1311" s="430">
        <f t="shared" si="225"/>
        <v>100</v>
      </c>
      <c r="U1311" s="31">
        <v>252</v>
      </c>
    </row>
    <row r="1312" spans="1:21" ht="12.75">
      <c r="A1312" s="71"/>
      <c r="B1312" s="70" t="s">
        <v>782</v>
      </c>
      <c r="C1312" s="70"/>
      <c r="D1312" s="12"/>
      <c r="E1312" s="12"/>
      <c r="F1312" s="12"/>
      <c r="G1312" s="155"/>
      <c r="H1312" s="52"/>
      <c r="I1312" s="26"/>
      <c r="J1312" s="26"/>
      <c r="K1312" s="26"/>
      <c r="L1312" s="26">
        <v>600</v>
      </c>
      <c r="N1312" s="430"/>
      <c r="P1312" s="430"/>
      <c r="Q1312" s="31">
        <v>600</v>
      </c>
      <c r="R1312" s="430">
        <f t="shared" si="224"/>
        <v>100</v>
      </c>
      <c r="S1312" s="31">
        <v>600</v>
      </c>
      <c r="T1312" s="430">
        <f t="shared" si="225"/>
        <v>100</v>
      </c>
      <c r="U1312" s="31">
        <v>600</v>
      </c>
    </row>
    <row r="1313" spans="1:20" ht="13.5" thickBot="1">
      <c r="A1313" s="14"/>
      <c r="B1313" s="12"/>
      <c r="C1313" s="12"/>
      <c r="D1313" s="12"/>
      <c r="E1313" s="12"/>
      <c r="F1313" s="12"/>
      <c r="G1313" s="155"/>
      <c r="H1313" s="12"/>
      <c r="I1313" s="14"/>
      <c r="J1313" s="14"/>
      <c r="K1313" s="26"/>
      <c r="L1313" s="26"/>
      <c r="N1313" s="425"/>
      <c r="O1313" s="411"/>
      <c r="P1313" s="548"/>
      <c r="Q1313" s="404"/>
      <c r="R1313" s="548"/>
      <c r="S1313" s="411"/>
      <c r="T1313" s="548"/>
    </row>
    <row r="1314" spans="1:14" ht="12.75">
      <c r="A1314" s="4"/>
      <c r="B1314" s="4"/>
      <c r="C1314" s="4"/>
      <c r="D1314" s="4"/>
      <c r="E1314" s="4"/>
      <c r="F1314" s="4"/>
      <c r="G1314" s="488"/>
      <c r="H1314" s="499"/>
      <c r="I1314" s="500"/>
      <c r="J1314" s="500"/>
      <c r="K1314" s="4"/>
      <c r="L1314" s="419"/>
      <c r="M1314" s="419"/>
      <c r="N1314" s="490"/>
    </row>
    <row r="1315" spans="1:14" ht="12.75">
      <c r="A1315" s="12"/>
      <c r="B1315" s="12"/>
      <c r="C1315" s="12"/>
      <c r="D1315" s="12"/>
      <c r="E1315" s="12"/>
      <c r="F1315" s="12"/>
      <c r="G1315" s="162"/>
      <c r="H1315" s="57"/>
      <c r="I1315" s="55"/>
      <c r="J1315" s="55"/>
      <c r="K1315" s="12"/>
      <c r="L1315" s="52"/>
      <c r="M1315" s="52"/>
      <c r="N1315" s="428"/>
    </row>
    <row r="1316" spans="1:14" ht="12.75">
      <c r="A1316" s="12" t="s">
        <v>615</v>
      </c>
      <c r="B1316" s="12"/>
      <c r="C1316" s="12"/>
      <c r="D1316" s="12"/>
      <c r="E1316" s="12"/>
      <c r="F1316" s="12"/>
      <c r="G1316" s="162"/>
      <c r="H1316" s="57"/>
      <c r="I1316" s="55"/>
      <c r="J1316" s="55"/>
      <c r="K1316" s="12"/>
      <c r="L1316" s="52"/>
      <c r="M1316" s="52"/>
      <c r="N1316" s="428"/>
    </row>
    <row r="1317" spans="1:14" ht="12.75">
      <c r="A1317" s="237" t="s">
        <v>616</v>
      </c>
      <c r="B1317" s="12"/>
      <c r="C1317" s="12"/>
      <c r="D1317" s="12"/>
      <c r="E1317" s="12"/>
      <c r="F1317" s="12"/>
      <c r="G1317" s="162"/>
      <c r="H1317" s="57"/>
      <c r="I1317" s="55"/>
      <c r="J1317" s="55"/>
      <c r="K1317" s="12"/>
      <c r="L1317" s="52"/>
      <c r="M1317" s="52"/>
      <c r="N1317" s="428"/>
    </row>
    <row r="1318" spans="1:14" ht="12.75">
      <c r="A1318" s="237" t="s">
        <v>310</v>
      </c>
      <c r="B1318" s="12"/>
      <c r="C1318" s="12"/>
      <c r="D1318" s="12"/>
      <c r="E1318" s="12"/>
      <c r="F1318" s="12"/>
      <c r="G1318" s="162"/>
      <c r="H1318" s="57"/>
      <c r="I1318" s="55"/>
      <c r="J1318" s="55"/>
      <c r="K1318" s="12"/>
      <c r="L1318" s="52"/>
      <c r="M1318" s="52"/>
      <c r="N1318" s="428"/>
    </row>
    <row r="1319" spans="1:22" s="131" customFormat="1" ht="12.75">
      <c r="A1319" s="24" t="s">
        <v>311</v>
      </c>
      <c r="B1319" s="24"/>
      <c r="C1319" s="24"/>
      <c r="D1319" s="24"/>
      <c r="E1319" s="24"/>
      <c r="F1319" s="24"/>
      <c r="G1319" s="158"/>
      <c r="H1319" s="57"/>
      <c r="I1319" s="55"/>
      <c r="J1319" s="55"/>
      <c r="K1319" s="24"/>
      <c r="L1319" s="91"/>
      <c r="M1319" s="91"/>
      <c r="N1319" s="438"/>
      <c r="O1319" s="389"/>
      <c r="Q1319" s="389"/>
      <c r="S1319" s="389"/>
      <c r="U1319" s="389"/>
      <c r="V1319" s="389"/>
    </row>
    <row r="1320" spans="1:14" ht="12.75">
      <c r="A1320" s="237" t="s">
        <v>617</v>
      </c>
      <c r="B1320" s="12"/>
      <c r="C1320" s="12"/>
      <c r="D1320" s="12"/>
      <c r="E1320" s="12"/>
      <c r="F1320" s="12"/>
      <c r="G1320" s="162"/>
      <c r="H1320" s="57"/>
      <c r="I1320" s="55"/>
      <c r="J1320" s="55"/>
      <c r="K1320" s="12"/>
      <c r="L1320" s="52"/>
      <c r="M1320" s="52"/>
      <c r="N1320" s="428"/>
    </row>
    <row r="1321" spans="1:14" ht="12.75">
      <c r="A1321" s="12" t="s">
        <v>703</v>
      </c>
      <c r="B1321" s="12"/>
      <c r="C1321" s="12"/>
      <c r="D1321" s="12"/>
      <c r="E1321" s="12"/>
      <c r="F1321" s="12"/>
      <c r="G1321" s="162"/>
      <c r="H1321" s="57"/>
      <c r="I1321" s="55"/>
      <c r="J1321" s="55"/>
      <c r="K1321" s="12"/>
      <c r="L1321" s="52"/>
      <c r="M1321" s="52"/>
      <c r="N1321" s="428"/>
    </row>
    <row r="1322" spans="1:14" ht="12.75">
      <c r="A1322" s="12"/>
      <c r="B1322" s="12"/>
      <c r="C1322" s="12"/>
      <c r="D1322" s="12"/>
      <c r="E1322" s="12"/>
      <c r="F1322" s="12"/>
      <c r="G1322" s="162"/>
      <c r="H1322" s="57"/>
      <c r="I1322" s="55"/>
      <c r="J1322" s="55"/>
      <c r="K1322" s="12"/>
      <c r="L1322" s="52"/>
      <c r="M1322" s="52"/>
      <c r="N1322" s="428"/>
    </row>
    <row r="1323" spans="1:14" ht="12.75">
      <c r="A1323" s="12"/>
      <c r="B1323" s="12"/>
      <c r="C1323" s="12"/>
      <c r="D1323" s="12"/>
      <c r="E1323" s="12"/>
      <c r="F1323" s="12"/>
      <c r="G1323" s="162"/>
      <c r="H1323" s="57"/>
      <c r="I1323" s="55"/>
      <c r="J1323" s="55"/>
      <c r="K1323" s="12"/>
      <c r="L1323" s="52"/>
      <c r="M1323" s="52"/>
      <c r="N1323" s="428"/>
    </row>
    <row r="1324" spans="1:14" ht="12.75">
      <c r="A1324" s="12"/>
      <c r="B1324" s="12"/>
      <c r="C1324" s="12"/>
      <c r="D1324" s="12"/>
      <c r="E1324" s="12"/>
      <c r="F1324" s="12"/>
      <c r="G1324" s="162"/>
      <c r="H1324" s="57"/>
      <c r="I1324" s="55"/>
      <c r="J1324" s="55"/>
      <c r="K1324" s="12"/>
      <c r="L1324" s="52"/>
      <c r="M1324" s="52"/>
      <c r="N1324" s="428"/>
    </row>
    <row r="1325" spans="1:14" ht="12.75">
      <c r="A1325" s="12"/>
      <c r="B1325" s="12"/>
      <c r="C1325" s="12"/>
      <c r="D1325" s="12"/>
      <c r="E1325" s="12"/>
      <c r="F1325" s="12"/>
      <c r="G1325" s="162"/>
      <c r="H1325" s="57"/>
      <c r="I1325" s="55"/>
      <c r="J1325" s="55"/>
      <c r="K1325" s="12"/>
      <c r="L1325" s="52"/>
      <c r="M1325" s="52"/>
      <c r="N1325" s="428"/>
    </row>
    <row r="1326" spans="2:14" ht="13.5" thickBot="1">
      <c r="B1326" s="12"/>
      <c r="C1326" s="12"/>
      <c r="D1326" s="12"/>
      <c r="E1326" s="12"/>
      <c r="F1326" s="12"/>
      <c r="G1326" s="162"/>
      <c r="H1326" s="57"/>
      <c r="I1326" s="55"/>
      <c r="J1326" s="55"/>
      <c r="K1326" s="12"/>
      <c r="L1326" s="52"/>
      <c r="M1326" s="52"/>
      <c r="N1326" s="428"/>
    </row>
    <row r="1327" spans="1:22" ht="13.5" thickBot="1">
      <c r="A1327" s="177" t="s">
        <v>44</v>
      </c>
      <c r="B1327" s="178"/>
      <c r="C1327" s="178"/>
      <c r="D1327" s="179"/>
      <c r="E1327" s="179"/>
      <c r="F1327" s="179"/>
      <c r="G1327" s="15" t="s">
        <v>23</v>
      </c>
      <c r="H1327" s="136"/>
      <c r="I1327" s="137" t="s">
        <v>395</v>
      </c>
      <c r="J1327" s="216"/>
      <c r="K1327" s="10" t="s">
        <v>25</v>
      </c>
      <c r="L1327" s="238" t="s">
        <v>645</v>
      </c>
      <c r="M1327" s="403" t="s">
        <v>296</v>
      </c>
      <c r="N1327" s="426" t="s">
        <v>684</v>
      </c>
      <c r="O1327" s="403" t="s">
        <v>296</v>
      </c>
      <c r="P1327" s="426" t="s">
        <v>683</v>
      </c>
      <c r="Q1327" s="403" t="s">
        <v>296</v>
      </c>
      <c r="R1327" s="426" t="s">
        <v>681</v>
      </c>
      <c r="S1327" s="403" t="s">
        <v>296</v>
      </c>
      <c r="T1327" s="421" t="s">
        <v>681</v>
      </c>
      <c r="U1327" s="403" t="s">
        <v>296</v>
      </c>
      <c r="V1327" s="421" t="s">
        <v>681</v>
      </c>
    </row>
    <row r="1328" spans="1:22" ht="16.5" thickTop="1">
      <c r="A1328" s="239" t="s">
        <v>190</v>
      </c>
      <c r="B1328" s="181" t="s">
        <v>579</v>
      </c>
      <c r="C1328" s="182"/>
      <c r="D1328" s="12"/>
      <c r="E1328" s="12"/>
      <c r="F1328" s="12"/>
      <c r="G1328" s="11" t="s">
        <v>45</v>
      </c>
      <c r="H1328" s="32" t="s">
        <v>27</v>
      </c>
      <c r="I1328" s="6" t="s">
        <v>92</v>
      </c>
      <c r="J1328" s="108" t="s">
        <v>29</v>
      </c>
      <c r="K1328" s="33" t="s">
        <v>46</v>
      </c>
      <c r="L1328" s="208"/>
      <c r="M1328" s="25" t="s">
        <v>297</v>
      </c>
      <c r="N1328" s="425"/>
      <c r="O1328" s="25" t="s">
        <v>896</v>
      </c>
      <c r="P1328" s="547"/>
      <c r="Q1328" s="25" t="s">
        <v>896</v>
      </c>
      <c r="R1328" s="547"/>
      <c r="S1328" s="25" t="s">
        <v>957</v>
      </c>
      <c r="T1328" s="422"/>
      <c r="U1328" s="25" t="s">
        <v>252</v>
      </c>
      <c r="V1328" s="422"/>
    </row>
    <row r="1329" spans="1:22" ht="13.5" thickBot="1">
      <c r="A1329" s="183"/>
      <c r="B1329" s="184"/>
      <c r="C1329" s="185"/>
      <c r="D1329" s="37"/>
      <c r="E1329" s="37"/>
      <c r="F1329" s="37"/>
      <c r="G1329" s="83"/>
      <c r="H1329" s="84">
        <v>38335</v>
      </c>
      <c r="I1329" s="148">
        <v>38587</v>
      </c>
      <c r="J1329" s="110" t="s">
        <v>31</v>
      </c>
      <c r="K1329" s="33" t="s">
        <v>32</v>
      </c>
      <c r="L1329" s="242"/>
      <c r="M1329" s="404"/>
      <c r="N1329" s="429"/>
      <c r="O1329" s="404"/>
      <c r="P1329" s="548"/>
      <c r="Q1329" s="404"/>
      <c r="R1329" s="548"/>
      <c r="S1329" s="404"/>
      <c r="T1329" s="423"/>
      <c r="U1329" s="404"/>
      <c r="V1329" s="423"/>
    </row>
    <row r="1330" spans="1:20" ht="13.5" thickBot="1">
      <c r="A1330" s="186" t="s">
        <v>47</v>
      </c>
      <c r="B1330" s="187"/>
      <c r="C1330" s="39"/>
      <c r="D1330" s="188" t="s">
        <v>48</v>
      </c>
      <c r="E1330" s="19"/>
      <c r="F1330" s="19"/>
      <c r="G1330" s="152">
        <v>1</v>
      </c>
      <c r="H1330" s="41">
        <v>2</v>
      </c>
      <c r="I1330" s="188">
        <v>3</v>
      </c>
      <c r="J1330" s="22">
        <v>4</v>
      </c>
      <c r="K1330" s="40">
        <v>1</v>
      </c>
      <c r="L1330" s="599">
        <v>1</v>
      </c>
      <c r="M1330" s="409"/>
      <c r="N1330" s="424"/>
      <c r="P1330" s="547"/>
      <c r="R1330" s="556"/>
      <c r="T1330" s="556"/>
    </row>
    <row r="1331" spans="1:21" ht="15">
      <c r="A1331" s="371"/>
      <c r="B1331" s="445" t="s">
        <v>228</v>
      </c>
      <c r="C1331" s="372"/>
      <c r="D1331" s="373"/>
      <c r="E1331" s="373"/>
      <c r="F1331" s="446"/>
      <c r="G1331" s="455">
        <f>G1333+G1339</f>
        <v>4416</v>
      </c>
      <c r="H1331" s="390">
        <f>H1333+L1339</f>
        <v>4386</v>
      </c>
      <c r="I1331" s="390">
        <f>I1333+O1339</f>
        <v>5086</v>
      </c>
      <c r="J1331" s="390">
        <f>J1333+N1339</f>
        <v>2193</v>
      </c>
      <c r="K1331" s="390">
        <f>K1333+O1339</f>
        <v>8198</v>
      </c>
      <c r="L1331" s="390">
        <f>L1333+P1339</f>
        <v>8768</v>
      </c>
      <c r="M1331" s="392">
        <f>M1333+Q1339</f>
        <v>1283</v>
      </c>
      <c r="N1331" s="440">
        <f>SUM(M1331/L1331)*100</f>
        <v>14.632755474452555</v>
      </c>
      <c r="O1331" s="392">
        <f>O1333+S1339</f>
        <v>1924</v>
      </c>
      <c r="P1331" s="567">
        <f>SUM(O1331/L1331)*100</f>
        <v>21.943430656934307</v>
      </c>
      <c r="Q1331" s="392">
        <f>Q1333+U1339</f>
        <v>3408</v>
      </c>
      <c r="R1331" s="567">
        <f>SUM(Q1331/L1331)*100</f>
        <v>38.86861313868613</v>
      </c>
      <c r="S1331" s="392">
        <f>S1333+W1339</f>
        <v>4199</v>
      </c>
      <c r="T1331" s="567">
        <f>SUM(S1331/L1331)*100</f>
        <v>47.89005474452554</v>
      </c>
      <c r="U1331" s="392">
        <f>U1333+Y1339</f>
        <v>4384</v>
      </c>
    </row>
    <row r="1332" spans="1:20" ht="12.75">
      <c r="A1332" s="14"/>
      <c r="B1332" s="11"/>
      <c r="C1332" s="12"/>
      <c r="D1332" s="12"/>
      <c r="E1332" s="12"/>
      <c r="F1332" s="13"/>
      <c r="G1332" s="155"/>
      <c r="H1332" s="92"/>
      <c r="I1332" s="14"/>
      <c r="J1332" s="14"/>
      <c r="K1332" s="14"/>
      <c r="L1332" s="26"/>
      <c r="N1332" s="425"/>
      <c r="P1332" s="547"/>
      <c r="R1332" s="547"/>
      <c r="T1332" s="547"/>
    </row>
    <row r="1333" spans="1:21" ht="12.75">
      <c r="A1333" s="66">
        <v>641</v>
      </c>
      <c r="B1333" s="199" t="s">
        <v>580</v>
      </c>
      <c r="C1333" s="48"/>
      <c r="D1333" s="12"/>
      <c r="E1333" s="12"/>
      <c r="F1333" s="13"/>
      <c r="G1333" s="193">
        <f aca="true" t="shared" si="226" ref="G1333:U1333">G1334</f>
        <v>4396</v>
      </c>
      <c r="H1333" s="50">
        <f t="shared" si="226"/>
        <v>4386</v>
      </c>
      <c r="I1333" s="50">
        <f t="shared" si="226"/>
        <v>5086</v>
      </c>
      <c r="J1333" s="50">
        <f t="shared" si="226"/>
        <v>2193</v>
      </c>
      <c r="K1333" s="50">
        <f t="shared" si="226"/>
        <v>8198</v>
      </c>
      <c r="L1333" s="50">
        <f t="shared" si="226"/>
        <v>8768</v>
      </c>
      <c r="M1333" s="197">
        <f t="shared" si="226"/>
        <v>1283</v>
      </c>
      <c r="N1333" s="433">
        <f>SUM(M1333/L1333)*100</f>
        <v>14.632755474452555</v>
      </c>
      <c r="O1333" s="197">
        <f t="shared" si="226"/>
        <v>1924</v>
      </c>
      <c r="P1333" s="433">
        <f>SUM(O1333/L1333)*100</f>
        <v>21.943430656934307</v>
      </c>
      <c r="Q1333" s="197">
        <f t="shared" si="226"/>
        <v>3408</v>
      </c>
      <c r="R1333" s="433">
        <f>SUM(Q1333/L1333)*100</f>
        <v>38.86861313868613</v>
      </c>
      <c r="S1333" s="197">
        <f t="shared" si="226"/>
        <v>4199</v>
      </c>
      <c r="T1333" s="433">
        <f>SUM(S1333/L1333)*100</f>
        <v>47.89005474452554</v>
      </c>
      <c r="U1333" s="197">
        <f t="shared" si="226"/>
        <v>4384</v>
      </c>
    </row>
    <row r="1334" spans="1:21" ht="12.75">
      <c r="A1334" s="71">
        <v>641001</v>
      </c>
      <c r="B1334" s="23" t="s">
        <v>581</v>
      </c>
      <c r="C1334" s="58"/>
      <c r="D1334" s="24"/>
      <c r="E1334" s="24"/>
      <c r="F1334" s="58"/>
      <c r="G1334" s="304">
        <f>SUM(G1335:G1336)</f>
        <v>4396</v>
      </c>
      <c r="H1334" s="92">
        <f>SUM(H1335:H1336)</f>
        <v>4386</v>
      </c>
      <c r="I1334" s="92">
        <f>SUM(I1335:I1336)</f>
        <v>5086</v>
      </c>
      <c r="J1334" s="92">
        <f>SUM(J1335:J1336)</f>
        <v>2193</v>
      </c>
      <c r="K1334" s="92">
        <f>SUM(K1335:K1336)</f>
        <v>8198</v>
      </c>
      <c r="L1334" s="92">
        <f>SUM(L1335:L1337)</f>
        <v>8768</v>
      </c>
      <c r="M1334" s="206">
        <f>SUM(M1335:M1336)</f>
        <v>1283</v>
      </c>
      <c r="N1334" s="430">
        <f>SUM(M1334/L1334)*100</f>
        <v>14.632755474452555</v>
      </c>
      <c r="O1334" s="206">
        <f>SUM(O1335:O1336)</f>
        <v>1924</v>
      </c>
      <c r="P1334" s="430">
        <f>SUM(O1334/L1334)*100</f>
        <v>21.943430656934307</v>
      </c>
      <c r="Q1334" s="206">
        <f>SUM(Q1335:Q1336)</f>
        <v>3408</v>
      </c>
      <c r="R1334" s="430">
        <f>SUM(Q1334/L1334)*100</f>
        <v>38.86861313868613</v>
      </c>
      <c r="S1334" s="206">
        <f>SUM(S1335:S1336)</f>
        <v>4199</v>
      </c>
      <c r="T1334" s="430">
        <f>SUM(S1334/L1334)*100</f>
        <v>47.89005474452554</v>
      </c>
      <c r="U1334" s="206">
        <f>SUM(U1335:U1336)</f>
        <v>4384</v>
      </c>
    </row>
    <row r="1335" spans="1:22" ht="12.75">
      <c r="A1335" s="53"/>
      <c r="B1335" s="125" t="s">
        <v>582</v>
      </c>
      <c r="C1335" s="24"/>
      <c r="D1335" s="24"/>
      <c r="E1335" s="24"/>
      <c r="F1335" s="58"/>
      <c r="G1335" s="307">
        <v>4396</v>
      </c>
      <c r="H1335" s="60">
        <v>4386</v>
      </c>
      <c r="I1335" s="60">
        <v>4386</v>
      </c>
      <c r="J1335" s="60">
        <v>2193</v>
      </c>
      <c r="K1335" s="60">
        <v>5198</v>
      </c>
      <c r="L1335" s="60">
        <v>5198</v>
      </c>
      <c r="M1335" s="398">
        <v>963</v>
      </c>
      <c r="N1335" s="441">
        <f>SUM(M1335/L1335)*100</f>
        <v>18.526356290881107</v>
      </c>
      <c r="O1335" s="398">
        <v>1444</v>
      </c>
      <c r="P1335" s="441">
        <f>SUM(O1335/L1335)*100</f>
        <v>27.77991535205848</v>
      </c>
      <c r="Q1335" s="398">
        <v>2608</v>
      </c>
      <c r="R1335" s="441">
        <f>SUM(Q1335/L1335)*100</f>
        <v>50.173143516737206</v>
      </c>
      <c r="S1335" s="398">
        <v>3239</v>
      </c>
      <c r="T1335" s="441">
        <f>SUM(S1335/L1335)*100</f>
        <v>62.31242785686803</v>
      </c>
      <c r="U1335" s="398">
        <v>3239</v>
      </c>
      <c r="V1335" s="398"/>
    </row>
    <row r="1336" spans="1:22" ht="12.75">
      <c r="A1336" s="53"/>
      <c r="B1336" s="125" t="s">
        <v>583</v>
      </c>
      <c r="C1336" s="24"/>
      <c r="D1336" s="24"/>
      <c r="E1336" s="24"/>
      <c r="F1336" s="58"/>
      <c r="G1336" s="307">
        <v>0</v>
      </c>
      <c r="H1336" s="60">
        <v>0</v>
      </c>
      <c r="I1336" s="60">
        <v>700</v>
      </c>
      <c r="J1336" s="60">
        <v>0</v>
      </c>
      <c r="K1336" s="60">
        <v>3000</v>
      </c>
      <c r="L1336" s="60">
        <v>2500</v>
      </c>
      <c r="M1336" s="398">
        <v>320</v>
      </c>
      <c r="N1336" s="441">
        <f>SUM(M1336/L1336)*100</f>
        <v>12.8</v>
      </c>
      <c r="O1336" s="398">
        <v>480</v>
      </c>
      <c r="P1336" s="441">
        <f>SUM(O1336/L1336)*100</f>
        <v>19.2</v>
      </c>
      <c r="Q1336" s="398">
        <v>800</v>
      </c>
      <c r="R1336" s="441">
        <f>SUM(Q1336/L1336)*100</f>
        <v>32</v>
      </c>
      <c r="S1336" s="398">
        <v>960</v>
      </c>
      <c r="T1336" s="441">
        <f>SUM(S1336/L1336)*100</f>
        <v>38.4</v>
      </c>
      <c r="U1336" s="398">
        <v>1145</v>
      </c>
      <c r="V1336" s="398"/>
    </row>
    <row r="1337" spans="1:22" ht="12.75">
      <c r="A1337" s="53"/>
      <c r="B1337" s="125" t="s">
        <v>926</v>
      </c>
      <c r="C1337" s="24"/>
      <c r="D1337" s="24"/>
      <c r="E1337" s="24"/>
      <c r="F1337" s="58"/>
      <c r="G1337" s="307"/>
      <c r="H1337" s="60"/>
      <c r="I1337" s="67"/>
      <c r="J1337" s="67"/>
      <c r="K1337" s="67"/>
      <c r="L1337" s="60">
        <v>1070</v>
      </c>
      <c r="N1337" s="425"/>
      <c r="O1337" s="398"/>
      <c r="P1337" s="569"/>
      <c r="Q1337" s="398"/>
      <c r="R1337" s="569"/>
      <c r="S1337" s="398">
        <v>0</v>
      </c>
      <c r="T1337" s="569"/>
      <c r="U1337" s="398"/>
      <c r="V1337" s="398"/>
    </row>
    <row r="1338" spans="1:20" ht="12.75">
      <c r="A1338" s="14"/>
      <c r="B1338" s="11"/>
      <c r="C1338" s="12"/>
      <c r="D1338" s="12"/>
      <c r="E1338" s="12"/>
      <c r="F1338" s="13"/>
      <c r="G1338" s="14"/>
      <c r="H1338" s="14"/>
      <c r="I1338" s="14"/>
      <c r="J1338" s="14"/>
      <c r="K1338" s="14"/>
      <c r="L1338" s="26"/>
      <c r="N1338" s="425"/>
      <c r="P1338" s="547"/>
      <c r="R1338" s="547"/>
      <c r="S1338" s="398"/>
      <c r="T1338" s="569"/>
    </row>
    <row r="1339" spans="1:20" ht="13.5" thickBot="1">
      <c r="A1339" s="231">
        <v>642</v>
      </c>
      <c r="B1339" s="232" t="s">
        <v>584</v>
      </c>
      <c r="C1339" s="315"/>
      <c r="D1339" s="315"/>
      <c r="E1339" s="315"/>
      <c r="F1339" s="322"/>
      <c r="G1339" s="231">
        <v>20</v>
      </c>
      <c r="H1339" s="231">
        <v>0</v>
      </c>
      <c r="I1339" s="231">
        <v>0</v>
      </c>
      <c r="J1339" s="231">
        <v>0</v>
      </c>
      <c r="K1339" s="231">
        <v>0</v>
      </c>
      <c r="L1339" s="586">
        <v>0</v>
      </c>
      <c r="M1339" s="411"/>
      <c r="N1339" s="429"/>
      <c r="O1339" s="411"/>
      <c r="P1339" s="548"/>
      <c r="Q1339" s="411"/>
      <c r="R1339" s="548"/>
      <c r="S1339" s="458"/>
      <c r="T1339" s="651"/>
    </row>
    <row r="1341" ht="12.75">
      <c r="A1341" t="s">
        <v>618</v>
      </c>
    </row>
    <row r="1342" ht="12.75">
      <c r="A1342" t="s">
        <v>619</v>
      </c>
    </row>
    <row r="1344" ht="13.5" thickBot="1"/>
    <row r="1345" spans="1:22" ht="13.5" thickBot="1">
      <c r="A1345" s="177" t="s">
        <v>44</v>
      </c>
      <c r="B1345" s="178"/>
      <c r="C1345" s="178"/>
      <c r="D1345" s="179"/>
      <c r="E1345" s="179"/>
      <c r="F1345" s="179"/>
      <c r="G1345" s="15" t="s">
        <v>23</v>
      </c>
      <c r="H1345" s="136"/>
      <c r="I1345" s="137" t="s">
        <v>395</v>
      </c>
      <c r="J1345" s="216"/>
      <c r="K1345" s="10" t="s">
        <v>25</v>
      </c>
      <c r="L1345" s="238" t="s">
        <v>645</v>
      </c>
      <c r="M1345" s="403" t="s">
        <v>296</v>
      </c>
      <c r="N1345" s="426" t="s">
        <v>684</v>
      </c>
      <c r="O1345" s="403" t="s">
        <v>296</v>
      </c>
      <c r="P1345" s="426" t="s">
        <v>683</v>
      </c>
      <c r="Q1345" s="403" t="s">
        <v>296</v>
      </c>
      <c r="R1345" s="426" t="s">
        <v>681</v>
      </c>
      <c r="S1345" s="403" t="s">
        <v>296</v>
      </c>
      <c r="T1345" s="421" t="s">
        <v>681</v>
      </c>
      <c r="U1345" s="403" t="s">
        <v>296</v>
      </c>
      <c r="V1345" s="421" t="s">
        <v>681</v>
      </c>
    </row>
    <row r="1346" spans="1:22" ht="16.5" thickTop="1">
      <c r="A1346" s="239" t="s">
        <v>194</v>
      </c>
      <c r="B1346" s="181" t="s">
        <v>195</v>
      </c>
      <c r="C1346" s="217"/>
      <c r="D1346" s="12"/>
      <c r="E1346" s="12"/>
      <c r="F1346" s="12"/>
      <c r="G1346" s="11" t="s">
        <v>45</v>
      </c>
      <c r="H1346" s="32" t="s">
        <v>27</v>
      </c>
      <c r="I1346" s="6" t="s">
        <v>92</v>
      </c>
      <c r="J1346" s="108" t="s">
        <v>29</v>
      </c>
      <c r="K1346" s="33" t="s">
        <v>46</v>
      </c>
      <c r="L1346" s="208"/>
      <c r="M1346" s="25" t="s">
        <v>297</v>
      </c>
      <c r="N1346" s="425"/>
      <c r="O1346" s="25" t="s">
        <v>750</v>
      </c>
      <c r="P1346" s="547"/>
      <c r="Q1346" s="25" t="s">
        <v>896</v>
      </c>
      <c r="R1346" s="547"/>
      <c r="S1346" s="25" t="s">
        <v>957</v>
      </c>
      <c r="T1346" s="422"/>
      <c r="U1346" s="25" t="s">
        <v>252</v>
      </c>
      <c r="V1346" s="422"/>
    </row>
    <row r="1347" spans="1:22" ht="16.5" thickBot="1">
      <c r="A1347" s="183"/>
      <c r="B1347" s="184"/>
      <c r="C1347" s="281"/>
      <c r="D1347" s="37"/>
      <c r="E1347" s="37"/>
      <c r="F1347" s="37"/>
      <c r="G1347" s="83"/>
      <c r="H1347" s="84">
        <v>38335</v>
      </c>
      <c r="I1347" s="148">
        <v>38587</v>
      </c>
      <c r="J1347" s="110" t="s">
        <v>31</v>
      </c>
      <c r="K1347" s="33" t="s">
        <v>32</v>
      </c>
      <c r="L1347" s="242"/>
      <c r="M1347" s="404"/>
      <c r="N1347" s="429"/>
      <c r="O1347" s="404"/>
      <c r="P1347" s="548"/>
      <c r="Q1347" s="404"/>
      <c r="R1347" s="548"/>
      <c r="S1347" s="404"/>
      <c r="T1347" s="423"/>
      <c r="U1347" s="404"/>
      <c r="V1347" s="423"/>
    </row>
    <row r="1348" spans="1:20" ht="13.5" thickBot="1">
      <c r="A1348" s="186" t="s">
        <v>47</v>
      </c>
      <c r="B1348" s="187"/>
      <c r="C1348" s="39"/>
      <c r="D1348" s="188" t="s">
        <v>48</v>
      </c>
      <c r="E1348" s="19"/>
      <c r="F1348" s="19"/>
      <c r="G1348" s="152">
        <v>1</v>
      </c>
      <c r="H1348" s="41">
        <v>2</v>
      </c>
      <c r="I1348" s="188">
        <v>3</v>
      </c>
      <c r="J1348" s="22">
        <v>4</v>
      </c>
      <c r="K1348" s="40">
        <v>1</v>
      </c>
      <c r="L1348" s="599">
        <v>1</v>
      </c>
      <c r="M1348" s="409"/>
      <c r="N1348" s="424"/>
      <c r="P1348" s="547"/>
      <c r="R1348" s="556"/>
      <c r="T1348" s="556"/>
    </row>
    <row r="1349" spans="1:21" ht="15">
      <c r="A1349" s="445"/>
      <c r="B1349" s="449" t="s">
        <v>228</v>
      </c>
      <c r="C1349" s="372"/>
      <c r="D1349" s="373"/>
      <c r="E1349" s="373"/>
      <c r="F1349" s="373"/>
      <c r="G1349" s="455">
        <f>G1365+G1371+G1378</f>
        <v>350</v>
      </c>
      <c r="H1349" s="390">
        <f>H1365+H1371+H1378</f>
        <v>305</v>
      </c>
      <c r="I1349" s="390">
        <f>I1365+I1371+I1378</f>
        <v>477</v>
      </c>
      <c r="J1349" s="390">
        <f>J1365+J1371+J1378</f>
        <v>268</v>
      </c>
      <c r="K1349" s="390">
        <f>K1365+K1371+K1378</f>
        <v>510</v>
      </c>
      <c r="L1349" s="390">
        <f>L1351+L1353+L1365+L1371+L1378</f>
        <v>861</v>
      </c>
      <c r="M1349" s="392">
        <f>M1351+M1353+M1365+M1371+M1378</f>
        <v>226</v>
      </c>
      <c r="N1349" s="440">
        <f>SUM(M1349/L1349)*100</f>
        <v>26.24854819976771</v>
      </c>
      <c r="O1349" s="392">
        <f>O1351+O1353+O1365+O1371+O1378</f>
        <v>323</v>
      </c>
      <c r="P1349" s="567">
        <f>SUM(O1349/L1349)*100</f>
        <v>37.51451800232288</v>
      </c>
      <c r="Q1349" s="392">
        <f>Q1351+Q1353+Q1365+Q1371+Q1378</f>
        <v>464</v>
      </c>
      <c r="R1349" s="567">
        <f>SUM(Q1349/L1349)*100</f>
        <v>53.89082462253194</v>
      </c>
      <c r="S1349" s="392">
        <f>S1351+S1353+S1365+S1371+S1378</f>
        <v>478</v>
      </c>
      <c r="T1349" s="567">
        <f>SUM(S1349/L1349)*100</f>
        <v>55.51684088269454</v>
      </c>
      <c r="U1349" s="392">
        <f>U1351+U1353+U1365+U1371+U1378</f>
        <v>548</v>
      </c>
    </row>
    <row r="1350" spans="1:20" ht="12.75">
      <c r="A1350" s="282"/>
      <c r="B1350" s="283"/>
      <c r="C1350" s="161"/>
      <c r="D1350" s="12"/>
      <c r="E1350" s="12"/>
      <c r="F1350" s="12"/>
      <c r="G1350" s="284"/>
      <c r="H1350" s="71"/>
      <c r="I1350" s="71"/>
      <c r="J1350" s="71"/>
      <c r="K1350" s="14"/>
      <c r="L1350" s="26"/>
      <c r="N1350" s="425"/>
      <c r="P1350" s="547"/>
      <c r="R1350" s="547"/>
      <c r="T1350" s="547"/>
    </row>
    <row r="1351" spans="1:22" ht="12.75">
      <c r="A1351" s="300">
        <v>610</v>
      </c>
      <c r="B1351" s="49" t="s">
        <v>474</v>
      </c>
      <c r="C1351" s="49"/>
      <c r="D1351" s="12"/>
      <c r="E1351" s="12"/>
      <c r="F1351" s="13"/>
      <c r="G1351" s="297">
        <v>443</v>
      </c>
      <c r="H1351" s="50">
        <v>500</v>
      </c>
      <c r="I1351" s="51">
        <v>800</v>
      </c>
      <c r="J1351" s="50">
        <v>257</v>
      </c>
      <c r="K1351" s="51">
        <v>1000</v>
      </c>
      <c r="L1351" s="50">
        <v>270</v>
      </c>
      <c r="M1351" s="399">
        <v>55</v>
      </c>
      <c r="N1351" s="433"/>
      <c r="O1351" s="399">
        <v>94</v>
      </c>
      <c r="P1351" s="433">
        <f>SUM(O1351/L1351)*100</f>
        <v>34.81481481481482</v>
      </c>
      <c r="Q1351" s="399">
        <v>157</v>
      </c>
      <c r="R1351" s="433">
        <f>SUM(Q1351/L1351)*100</f>
        <v>58.14814814814815</v>
      </c>
      <c r="S1351" s="399">
        <v>170</v>
      </c>
      <c r="T1351" s="433">
        <f>SUM(S1351/L1351)*100</f>
        <v>62.96296296296296</v>
      </c>
      <c r="U1351" s="399">
        <v>217</v>
      </c>
      <c r="V1351" s="399"/>
    </row>
    <row r="1352" spans="1:20" ht="12.75">
      <c r="A1352" s="282"/>
      <c r="B1352" s="283"/>
      <c r="C1352" s="161"/>
      <c r="D1352" s="12"/>
      <c r="E1352" s="12"/>
      <c r="F1352" s="12"/>
      <c r="G1352" s="284"/>
      <c r="H1352" s="71"/>
      <c r="I1352" s="71"/>
      <c r="J1352" s="71"/>
      <c r="K1352" s="14"/>
      <c r="L1352" s="26"/>
      <c r="N1352" s="425"/>
      <c r="P1352" s="547"/>
      <c r="R1352" s="547"/>
      <c r="T1352" s="547"/>
    </row>
    <row r="1353" spans="1:22" ht="12.75">
      <c r="A1353" s="244">
        <v>620</v>
      </c>
      <c r="B1353" s="286" t="s">
        <v>230</v>
      </c>
      <c r="C1353" s="269"/>
      <c r="D1353" s="252"/>
      <c r="E1353" s="252"/>
      <c r="F1353" s="252"/>
      <c r="G1353" s="284"/>
      <c r="H1353" s="71"/>
      <c r="I1353" s="71"/>
      <c r="J1353" s="71"/>
      <c r="K1353" s="14"/>
      <c r="L1353" s="50">
        <v>95</v>
      </c>
      <c r="M1353" s="399">
        <f>SUM(M1354+M1355+M1356+M1363)</f>
        <v>20</v>
      </c>
      <c r="N1353" s="433"/>
      <c r="O1353" s="399">
        <f>SUM(O1354+O1355+O1356+O1363)</f>
        <v>31</v>
      </c>
      <c r="P1353" s="433">
        <f>SUM(O1353/L1353)*100</f>
        <v>32.631578947368425</v>
      </c>
      <c r="Q1353" s="399">
        <f>SUM(Q1354+Q1355+Q1356+Q1363)</f>
        <v>56</v>
      </c>
      <c r="R1353" s="433">
        <f>SUM(Q1353/L1353)*100</f>
        <v>58.94736842105262</v>
      </c>
      <c r="S1353" s="399">
        <f>SUM(S1354+S1355+S1356+S1363)</f>
        <v>57</v>
      </c>
      <c r="T1353" s="433">
        <f>SUM(S1353/L1353)*100</f>
        <v>60</v>
      </c>
      <c r="U1353" s="399">
        <f>SUM(U1354+U1355+U1356+U1363)</f>
        <v>71</v>
      </c>
      <c r="V1353" s="399"/>
    </row>
    <row r="1354" spans="1:22" s="131" customFormat="1" ht="12.75">
      <c r="A1354" s="262">
        <v>621</v>
      </c>
      <c r="B1354" s="289" t="s">
        <v>341</v>
      </c>
      <c r="C1354" s="158"/>
      <c r="D1354" s="24"/>
      <c r="E1354" s="24"/>
      <c r="F1354" s="24"/>
      <c r="G1354" s="261"/>
      <c r="H1354" s="71"/>
      <c r="I1354" s="71"/>
      <c r="J1354" s="71"/>
      <c r="K1354" s="71"/>
      <c r="L1354" s="92"/>
      <c r="M1354" s="389">
        <v>6</v>
      </c>
      <c r="N1354" s="430"/>
      <c r="O1354" s="389">
        <v>9</v>
      </c>
      <c r="P1354" s="549"/>
      <c r="Q1354" s="389">
        <v>15</v>
      </c>
      <c r="R1354" s="549"/>
      <c r="S1354" s="389">
        <v>16</v>
      </c>
      <c r="T1354" s="549"/>
      <c r="U1354" s="389">
        <v>19</v>
      </c>
      <c r="V1354" s="389"/>
    </row>
    <row r="1355" spans="1:22" s="131" customFormat="1" ht="12.75">
      <c r="A1355" s="262">
        <v>622</v>
      </c>
      <c r="B1355" s="289" t="s">
        <v>342</v>
      </c>
      <c r="C1355" s="158"/>
      <c r="D1355" s="24"/>
      <c r="E1355" s="24"/>
      <c r="F1355" s="24"/>
      <c r="G1355" s="261"/>
      <c r="H1355" s="71"/>
      <c r="I1355" s="71"/>
      <c r="J1355" s="71"/>
      <c r="K1355" s="71"/>
      <c r="L1355" s="92"/>
      <c r="M1355" s="389"/>
      <c r="N1355" s="430"/>
      <c r="O1355" s="389"/>
      <c r="P1355" s="549"/>
      <c r="Q1355" s="389">
        <v>1</v>
      </c>
      <c r="R1355" s="549"/>
      <c r="S1355" s="389">
        <v>1</v>
      </c>
      <c r="T1355" s="549"/>
      <c r="U1355" s="389">
        <v>1</v>
      </c>
      <c r="V1355" s="389"/>
    </row>
    <row r="1356" spans="1:22" s="131" customFormat="1" ht="12.75">
      <c r="A1356" s="262">
        <v>625</v>
      </c>
      <c r="B1356" s="289" t="s">
        <v>344</v>
      </c>
      <c r="C1356" s="158"/>
      <c r="D1356" s="24"/>
      <c r="E1356" s="24"/>
      <c r="F1356" s="24"/>
      <c r="G1356" s="261"/>
      <c r="H1356" s="71"/>
      <c r="I1356" s="71"/>
      <c r="J1356" s="71"/>
      <c r="K1356" s="71"/>
      <c r="L1356" s="92"/>
      <c r="M1356" s="389">
        <v>14</v>
      </c>
      <c r="N1356" s="430"/>
      <c r="O1356" s="389">
        <f>SUM(O1357:O1362)</f>
        <v>22</v>
      </c>
      <c r="P1356" s="549"/>
      <c r="Q1356" s="389">
        <f>SUM(Q1357:Q1362)</f>
        <v>40</v>
      </c>
      <c r="R1356" s="549"/>
      <c r="S1356" s="389">
        <v>40</v>
      </c>
      <c r="T1356" s="549"/>
      <c r="U1356" s="389">
        <f>SUM(U1357:U1362)</f>
        <v>51</v>
      </c>
      <c r="V1356" s="389"/>
    </row>
    <row r="1357" spans="1:22" s="131" customFormat="1" ht="12.75">
      <c r="A1357" s="262">
        <v>625001</v>
      </c>
      <c r="B1357" s="289" t="s">
        <v>679</v>
      </c>
      <c r="C1357" s="158"/>
      <c r="D1357" s="24"/>
      <c r="E1357" s="24"/>
      <c r="F1357" s="24"/>
      <c r="G1357" s="261"/>
      <c r="H1357" s="71"/>
      <c r="I1357" s="71"/>
      <c r="J1357" s="71"/>
      <c r="K1357" s="71"/>
      <c r="L1357" s="92"/>
      <c r="M1357" s="389">
        <v>1</v>
      </c>
      <c r="N1357" s="430"/>
      <c r="O1357" s="389">
        <v>1</v>
      </c>
      <c r="P1357" s="549"/>
      <c r="Q1357" s="389">
        <v>2</v>
      </c>
      <c r="R1357" s="549"/>
      <c r="S1357" s="389">
        <v>2</v>
      </c>
      <c r="T1357" s="549"/>
      <c r="U1357" s="389">
        <v>3</v>
      </c>
      <c r="V1357" s="389"/>
    </row>
    <row r="1358" spans="1:22" s="131" customFormat="1" ht="12.75">
      <c r="A1358" s="262">
        <v>625002</v>
      </c>
      <c r="B1358" s="289" t="s">
        <v>346</v>
      </c>
      <c r="C1358" s="158"/>
      <c r="D1358" s="24"/>
      <c r="E1358" s="24"/>
      <c r="F1358" s="24"/>
      <c r="G1358" s="261"/>
      <c r="H1358" s="71"/>
      <c r="I1358" s="71"/>
      <c r="J1358" s="71"/>
      <c r="K1358" s="71"/>
      <c r="L1358" s="92"/>
      <c r="M1358" s="389">
        <v>8</v>
      </c>
      <c r="N1358" s="430"/>
      <c r="O1358" s="389">
        <v>13</v>
      </c>
      <c r="P1358" s="549"/>
      <c r="Q1358" s="389">
        <v>24</v>
      </c>
      <c r="R1358" s="549"/>
      <c r="S1358" s="389">
        <v>24</v>
      </c>
      <c r="T1358" s="549"/>
      <c r="U1358" s="389">
        <v>30</v>
      </c>
      <c r="V1358" s="389"/>
    </row>
    <row r="1359" spans="1:22" s="131" customFormat="1" ht="12.75">
      <c r="A1359" s="262">
        <v>625003</v>
      </c>
      <c r="B1359" s="289" t="s">
        <v>347</v>
      </c>
      <c r="C1359" s="158"/>
      <c r="D1359" s="24"/>
      <c r="E1359" s="24"/>
      <c r="F1359" s="24"/>
      <c r="G1359" s="261"/>
      <c r="H1359" s="71"/>
      <c r="I1359" s="71"/>
      <c r="J1359" s="71"/>
      <c r="K1359" s="71"/>
      <c r="L1359" s="92"/>
      <c r="M1359" s="389"/>
      <c r="N1359" s="430"/>
      <c r="O1359" s="389">
        <v>1</v>
      </c>
      <c r="P1359" s="549"/>
      <c r="Q1359" s="389">
        <v>1</v>
      </c>
      <c r="R1359" s="549"/>
      <c r="S1359" s="389">
        <v>1</v>
      </c>
      <c r="T1359" s="549"/>
      <c r="U1359" s="389">
        <v>2</v>
      </c>
      <c r="V1359" s="389"/>
    </row>
    <row r="1360" spans="1:22" s="131" customFormat="1" ht="12.75">
      <c r="A1360" s="262">
        <v>625004</v>
      </c>
      <c r="B1360" s="289" t="s">
        <v>348</v>
      </c>
      <c r="C1360" s="158"/>
      <c r="D1360" s="24"/>
      <c r="E1360" s="24"/>
      <c r="F1360" s="24"/>
      <c r="G1360" s="261"/>
      <c r="H1360" s="71"/>
      <c r="I1360" s="71"/>
      <c r="J1360" s="71"/>
      <c r="K1360" s="71"/>
      <c r="L1360" s="92"/>
      <c r="M1360" s="389">
        <v>1</v>
      </c>
      <c r="N1360" s="430"/>
      <c r="O1360" s="389">
        <v>2</v>
      </c>
      <c r="P1360" s="549"/>
      <c r="Q1360" s="389">
        <v>4</v>
      </c>
      <c r="R1360" s="549"/>
      <c r="S1360" s="389">
        <v>4</v>
      </c>
      <c r="T1360" s="549"/>
      <c r="U1360" s="389">
        <v>5</v>
      </c>
      <c r="V1360" s="389"/>
    </row>
    <row r="1361" spans="1:22" s="131" customFormat="1" ht="12.75">
      <c r="A1361" s="262">
        <v>625005</v>
      </c>
      <c r="B1361" s="289" t="s">
        <v>349</v>
      </c>
      <c r="C1361" s="158"/>
      <c r="D1361" s="24"/>
      <c r="E1361" s="24"/>
      <c r="F1361" s="24"/>
      <c r="G1361" s="261"/>
      <c r="H1361" s="71"/>
      <c r="I1361" s="71"/>
      <c r="J1361" s="71"/>
      <c r="K1361" s="71"/>
      <c r="L1361" s="92"/>
      <c r="M1361" s="389"/>
      <c r="N1361" s="430"/>
      <c r="O1361" s="389">
        <v>1</v>
      </c>
      <c r="P1361" s="549"/>
      <c r="Q1361" s="389">
        <v>1</v>
      </c>
      <c r="R1361" s="549"/>
      <c r="S1361" s="389">
        <v>1</v>
      </c>
      <c r="T1361" s="549"/>
      <c r="U1361" s="389">
        <v>1</v>
      </c>
      <c r="V1361" s="389"/>
    </row>
    <row r="1362" spans="1:22" s="131" customFormat="1" ht="12.75">
      <c r="A1362" s="262">
        <v>625007</v>
      </c>
      <c r="B1362" s="289" t="s">
        <v>394</v>
      </c>
      <c r="C1362" s="158"/>
      <c r="D1362" s="24"/>
      <c r="E1362" s="24"/>
      <c r="F1362" s="24"/>
      <c r="G1362" s="261"/>
      <c r="H1362" s="71"/>
      <c r="I1362" s="71"/>
      <c r="J1362" s="71"/>
      <c r="K1362" s="71"/>
      <c r="L1362" s="92"/>
      <c r="M1362" s="389">
        <v>3</v>
      </c>
      <c r="N1362" s="430"/>
      <c r="O1362" s="389">
        <v>4</v>
      </c>
      <c r="P1362" s="549"/>
      <c r="Q1362" s="389">
        <v>8</v>
      </c>
      <c r="R1362" s="549"/>
      <c r="S1362" s="389">
        <v>8</v>
      </c>
      <c r="T1362" s="549"/>
      <c r="U1362" s="389">
        <v>10</v>
      </c>
      <c r="V1362" s="389"/>
    </row>
    <row r="1363" spans="1:22" s="131" customFormat="1" ht="12.75">
      <c r="A1363" s="262">
        <v>627</v>
      </c>
      <c r="B1363" s="289" t="s">
        <v>680</v>
      </c>
      <c r="C1363" s="158"/>
      <c r="D1363" s="24"/>
      <c r="E1363" s="24"/>
      <c r="F1363" s="24"/>
      <c r="G1363" s="261"/>
      <c r="H1363" s="71"/>
      <c r="I1363" s="71"/>
      <c r="J1363" s="71"/>
      <c r="K1363" s="71"/>
      <c r="L1363" s="92"/>
      <c r="M1363" s="389"/>
      <c r="N1363" s="430"/>
      <c r="O1363" s="389"/>
      <c r="P1363" s="549"/>
      <c r="Q1363" s="389"/>
      <c r="R1363" s="549"/>
      <c r="S1363" s="389"/>
      <c r="T1363" s="549"/>
      <c r="U1363" s="389"/>
      <c r="V1363" s="389"/>
    </row>
    <row r="1364" spans="1:20" ht="12.75">
      <c r="A1364" s="282"/>
      <c r="B1364" s="283"/>
      <c r="C1364" s="161"/>
      <c r="D1364" s="12"/>
      <c r="E1364" s="12"/>
      <c r="F1364" s="12"/>
      <c r="G1364" s="284"/>
      <c r="H1364" s="71"/>
      <c r="I1364" s="71"/>
      <c r="J1364" s="71"/>
      <c r="K1364" s="14"/>
      <c r="L1364" s="26"/>
      <c r="N1364" s="425"/>
      <c r="P1364" s="547"/>
      <c r="R1364" s="547"/>
      <c r="T1364" s="547"/>
    </row>
    <row r="1365" spans="1:21" ht="12.75">
      <c r="A1365" s="199">
        <v>633</v>
      </c>
      <c r="B1365" s="291" t="s">
        <v>461</v>
      </c>
      <c r="C1365" s="49"/>
      <c r="D1365" s="12"/>
      <c r="E1365" s="12"/>
      <c r="F1365" s="12"/>
      <c r="G1365" s="288">
        <f aca="true" t="shared" si="227" ref="G1365:U1365">SUM(G1367:G1369)</f>
        <v>95</v>
      </c>
      <c r="H1365" s="50">
        <f t="shared" si="227"/>
        <v>145</v>
      </c>
      <c r="I1365" s="50">
        <f t="shared" si="227"/>
        <v>145</v>
      </c>
      <c r="J1365" s="50">
        <f t="shared" si="227"/>
        <v>36</v>
      </c>
      <c r="K1365" s="50">
        <f t="shared" si="227"/>
        <v>165</v>
      </c>
      <c r="L1365" s="50">
        <f t="shared" si="227"/>
        <v>155</v>
      </c>
      <c r="M1365" s="197">
        <f t="shared" si="227"/>
        <v>13</v>
      </c>
      <c r="N1365" s="433">
        <f>SUM(M1365/L1365)*100</f>
        <v>8.38709677419355</v>
      </c>
      <c r="O1365" s="197">
        <f t="shared" si="227"/>
        <v>28</v>
      </c>
      <c r="P1365" s="433">
        <f>SUM(O1365/L1365)*100</f>
        <v>18.064516129032256</v>
      </c>
      <c r="Q1365" s="197">
        <f t="shared" si="227"/>
        <v>65</v>
      </c>
      <c r="R1365" s="433">
        <f>SUM(Q1365/L1365)*100</f>
        <v>41.935483870967744</v>
      </c>
      <c r="S1365" s="197">
        <f t="shared" si="227"/>
        <v>65</v>
      </c>
      <c r="T1365" s="433">
        <f>SUM(S1365/L1365)*100</f>
        <v>41.935483870967744</v>
      </c>
      <c r="U1365" s="197">
        <f t="shared" si="227"/>
        <v>67</v>
      </c>
    </row>
    <row r="1366" spans="1:21" ht="12.75">
      <c r="A1366" s="23">
        <v>633006</v>
      </c>
      <c r="B1366" s="338" t="s">
        <v>433</v>
      </c>
      <c r="C1366" s="55"/>
      <c r="D1366" s="12"/>
      <c r="E1366" s="12"/>
      <c r="F1366" s="12"/>
      <c r="G1366" s="284"/>
      <c r="H1366" s="14"/>
      <c r="I1366" s="14"/>
      <c r="J1366" s="14"/>
      <c r="K1366" s="14"/>
      <c r="L1366" s="26">
        <f>SUM(L1367+L1368)</f>
        <v>115</v>
      </c>
      <c r="N1366" s="425"/>
      <c r="O1366" s="26">
        <f>SUM(O1367+O1368)</f>
        <v>17</v>
      </c>
      <c r="P1366" s="430">
        <f>SUM(O1366/L1366)*100</f>
        <v>14.782608695652174</v>
      </c>
      <c r="Q1366" s="25">
        <f>SUM(Q1367+Q1368)</f>
        <v>53</v>
      </c>
      <c r="R1366" s="430">
        <f>SUM(Q1366/L1366)*100</f>
        <v>46.08695652173913</v>
      </c>
      <c r="S1366" s="25">
        <f>SUM(S1367+S1368)</f>
        <v>53</v>
      </c>
      <c r="T1366" s="430">
        <f>SUM(S1366/L1366)*100</f>
        <v>46.08695652173913</v>
      </c>
      <c r="U1366" s="25">
        <f>SUM(U1367+U1368)</f>
        <v>55</v>
      </c>
    </row>
    <row r="1367" spans="1:22" s="627" customFormat="1" ht="12">
      <c r="A1367" s="205"/>
      <c r="B1367" s="647" t="s">
        <v>585</v>
      </c>
      <c r="C1367" s="203"/>
      <c r="D1367" s="203"/>
      <c r="E1367" s="203"/>
      <c r="F1367" s="203"/>
      <c r="G1367" s="641">
        <v>13</v>
      </c>
      <c r="H1367" s="94">
        <v>75</v>
      </c>
      <c r="I1367" s="94">
        <v>75</v>
      </c>
      <c r="J1367" s="94">
        <v>12</v>
      </c>
      <c r="K1367" s="204">
        <v>85</v>
      </c>
      <c r="L1367" s="94">
        <v>85</v>
      </c>
      <c r="M1367" s="562">
        <v>6</v>
      </c>
      <c r="N1367" s="563">
        <f>SUM(M1367/L1367)*100</f>
        <v>7.0588235294117645</v>
      </c>
      <c r="O1367" s="562">
        <v>6</v>
      </c>
      <c r="P1367" s="563">
        <f>SUM(O1367/L1367)*100</f>
        <v>7.0588235294117645</v>
      </c>
      <c r="Q1367" s="562">
        <v>40</v>
      </c>
      <c r="R1367" s="563">
        <f>SUM(Q1367/L1367)*100</f>
        <v>47.05882352941176</v>
      </c>
      <c r="S1367" s="562">
        <v>40</v>
      </c>
      <c r="T1367" s="563">
        <f>SUM(S1367/L1367)*100</f>
        <v>47.05882352941176</v>
      </c>
      <c r="U1367" s="562">
        <v>40</v>
      </c>
      <c r="V1367" s="562"/>
    </row>
    <row r="1368" spans="1:22" s="627" customFormat="1" ht="12">
      <c r="A1368" s="205"/>
      <c r="B1368" s="648" t="s">
        <v>586</v>
      </c>
      <c r="C1368" s="203"/>
      <c r="D1368" s="203"/>
      <c r="E1368" s="203"/>
      <c r="F1368" s="203"/>
      <c r="G1368" s="641">
        <v>19</v>
      </c>
      <c r="H1368" s="204">
        <v>30</v>
      </c>
      <c r="I1368" s="204">
        <v>30</v>
      </c>
      <c r="J1368" s="204">
        <v>12</v>
      </c>
      <c r="K1368" s="204">
        <v>30</v>
      </c>
      <c r="L1368" s="94">
        <v>30</v>
      </c>
      <c r="M1368" s="562">
        <v>7</v>
      </c>
      <c r="N1368" s="563">
        <f>SUM(M1368/L1368)*100</f>
        <v>23.333333333333332</v>
      </c>
      <c r="O1368" s="562">
        <v>11</v>
      </c>
      <c r="P1368" s="563">
        <f>SUM(O1368/L1368)*100</f>
        <v>36.666666666666664</v>
      </c>
      <c r="Q1368" s="562">
        <v>13</v>
      </c>
      <c r="R1368" s="563">
        <f>SUM(Q1368/L1368)*100</f>
        <v>43.333333333333336</v>
      </c>
      <c r="S1368" s="562">
        <v>13</v>
      </c>
      <c r="T1368" s="563">
        <f>SUM(S1368/L1368)*100</f>
        <v>43.333333333333336</v>
      </c>
      <c r="U1368" s="562">
        <v>15</v>
      </c>
      <c r="V1368" s="562"/>
    </row>
    <row r="1369" spans="1:21" ht="12.75">
      <c r="A1369" s="23">
        <v>633016</v>
      </c>
      <c r="B1369" s="292" t="s">
        <v>587</v>
      </c>
      <c r="C1369" s="55"/>
      <c r="D1369" s="12"/>
      <c r="E1369" s="12"/>
      <c r="F1369" s="12"/>
      <c r="G1369" s="284">
        <v>63</v>
      </c>
      <c r="H1369" s="14">
        <v>40</v>
      </c>
      <c r="I1369" s="14">
        <v>40</v>
      </c>
      <c r="J1369" s="14">
        <v>12</v>
      </c>
      <c r="K1369" s="14">
        <v>50</v>
      </c>
      <c r="L1369" s="26">
        <v>40</v>
      </c>
      <c r="N1369" s="425"/>
      <c r="O1369" s="31">
        <v>11</v>
      </c>
      <c r="P1369" s="430">
        <f>SUM(O1369/L1369)*100</f>
        <v>27.500000000000004</v>
      </c>
      <c r="Q1369" s="31">
        <v>12</v>
      </c>
      <c r="R1369" s="430">
        <f>SUM(Q1369/L1369)*100</f>
        <v>30</v>
      </c>
      <c r="S1369" s="31">
        <v>12</v>
      </c>
      <c r="T1369" s="430">
        <f>SUM(S1369/L1369)*100</f>
        <v>30</v>
      </c>
      <c r="U1369" s="31">
        <v>12</v>
      </c>
    </row>
    <row r="1370" spans="1:20" ht="12.75">
      <c r="A1370" s="11"/>
      <c r="B1370" s="294"/>
      <c r="C1370" s="12"/>
      <c r="D1370" s="12"/>
      <c r="E1370" s="12"/>
      <c r="F1370" s="12"/>
      <c r="G1370" s="284"/>
      <c r="H1370" s="14"/>
      <c r="I1370" s="14"/>
      <c r="J1370" s="14"/>
      <c r="K1370" s="14"/>
      <c r="L1370" s="26"/>
      <c r="N1370" s="425"/>
      <c r="P1370" s="547"/>
      <c r="R1370" s="547"/>
      <c r="T1370" s="547"/>
    </row>
    <row r="1371" spans="1:21" ht="12.75">
      <c r="A1371" s="199">
        <v>637</v>
      </c>
      <c r="B1371" s="291" t="s">
        <v>288</v>
      </c>
      <c r="C1371" s="49"/>
      <c r="D1371" s="12"/>
      <c r="E1371" s="12"/>
      <c r="F1371" s="12"/>
      <c r="G1371" s="193">
        <f aca="true" t="shared" si="228" ref="G1371:M1371">SUM(G1372:G1375)</f>
        <v>114</v>
      </c>
      <c r="H1371" s="193">
        <f t="shared" si="228"/>
        <v>135</v>
      </c>
      <c r="I1371" s="50">
        <f t="shared" si="228"/>
        <v>255</v>
      </c>
      <c r="J1371" s="193">
        <f t="shared" si="228"/>
        <v>205</v>
      </c>
      <c r="K1371" s="193">
        <f t="shared" si="228"/>
        <v>140</v>
      </c>
      <c r="L1371" s="50">
        <f t="shared" si="228"/>
        <v>140</v>
      </c>
      <c r="M1371" s="197">
        <f t="shared" si="228"/>
        <v>75</v>
      </c>
      <c r="N1371" s="433">
        <f>SUM(M1371/L1371)*100</f>
        <v>53.57142857142857</v>
      </c>
      <c r="O1371" s="197">
        <f>SUM(O1372:O1375)</f>
        <v>75</v>
      </c>
      <c r="P1371" s="433">
        <f>SUM(O1371/L1371)*100</f>
        <v>53.57142857142857</v>
      </c>
      <c r="Q1371" s="197">
        <f>SUM(Q1372:Q1375)</f>
        <v>81</v>
      </c>
      <c r="R1371" s="433">
        <f>SUM(Q1371/L1371)*100</f>
        <v>57.85714285714286</v>
      </c>
      <c r="S1371" s="197">
        <f>SUM(S1372:S1375)</f>
        <v>81</v>
      </c>
      <c r="T1371" s="433">
        <f>SUM(S1371/L1371)*100</f>
        <v>57.85714285714286</v>
      </c>
      <c r="U1371" s="197">
        <f>SUM(U1372:U1375)</f>
        <v>78</v>
      </c>
    </row>
    <row r="1372" spans="1:21" ht="12.75">
      <c r="A1372" s="23">
        <v>637002</v>
      </c>
      <c r="B1372" s="292" t="s">
        <v>588</v>
      </c>
      <c r="C1372" s="24"/>
      <c r="D1372" s="24"/>
      <c r="E1372" s="24"/>
      <c r="F1372" s="24"/>
      <c r="G1372" s="284">
        <v>75</v>
      </c>
      <c r="H1372" s="14">
        <v>75</v>
      </c>
      <c r="I1372" s="14">
        <v>195</v>
      </c>
      <c r="J1372" s="14">
        <v>195</v>
      </c>
      <c r="K1372" s="14">
        <v>75</v>
      </c>
      <c r="L1372" s="26">
        <v>75</v>
      </c>
      <c r="M1372" s="31">
        <v>75</v>
      </c>
      <c r="N1372" s="430">
        <f>SUM(M1372/L1372)*100</f>
        <v>100</v>
      </c>
      <c r="O1372" s="31">
        <v>75</v>
      </c>
      <c r="P1372" s="430">
        <f>SUM(O1372/L1372)*100</f>
        <v>100</v>
      </c>
      <c r="Q1372" s="31">
        <v>75</v>
      </c>
      <c r="R1372" s="430">
        <f>SUM(Q1372/L1372)*100</f>
        <v>100</v>
      </c>
      <c r="S1372" s="31">
        <v>75</v>
      </c>
      <c r="T1372" s="430">
        <f>SUM(S1372/L1372)*100</f>
        <v>100</v>
      </c>
      <c r="U1372" s="31">
        <v>75</v>
      </c>
    </row>
    <row r="1373" spans="1:20" ht="12.75">
      <c r="A1373" s="23">
        <v>637004</v>
      </c>
      <c r="B1373" s="292" t="s">
        <v>589</v>
      </c>
      <c r="C1373" s="24"/>
      <c r="D1373" s="24"/>
      <c r="E1373" s="24"/>
      <c r="F1373" s="24"/>
      <c r="G1373" s="284">
        <f>4+15</f>
        <v>19</v>
      </c>
      <c r="H1373" s="14">
        <v>40</v>
      </c>
      <c r="I1373" s="14">
        <v>40</v>
      </c>
      <c r="J1373" s="14">
        <v>10</v>
      </c>
      <c r="K1373" s="14">
        <v>40</v>
      </c>
      <c r="L1373" s="26">
        <v>40</v>
      </c>
      <c r="N1373" s="425"/>
      <c r="P1373" s="547"/>
      <c r="R1373" s="547"/>
      <c r="T1373" s="547"/>
    </row>
    <row r="1374" spans="1:21" ht="12.75">
      <c r="A1374" s="23">
        <v>637016</v>
      </c>
      <c r="B1374" s="292" t="s">
        <v>375</v>
      </c>
      <c r="C1374" s="24"/>
      <c r="D1374" s="24"/>
      <c r="E1374" s="24"/>
      <c r="F1374" s="24"/>
      <c r="G1374" s="284"/>
      <c r="H1374" s="14"/>
      <c r="I1374" s="14"/>
      <c r="J1374" s="14"/>
      <c r="K1374" s="14"/>
      <c r="L1374" s="26">
        <v>0</v>
      </c>
      <c r="N1374" s="425"/>
      <c r="P1374" s="547"/>
      <c r="Q1374" s="31">
        <v>3</v>
      </c>
      <c r="R1374" s="547"/>
      <c r="S1374" s="31">
        <v>3</v>
      </c>
      <c r="T1374" s="547"/>
      <c r="U1374" s="31">
        <v>3</v>
      </c>
    </row>
    <row r="1375" spans="1:20" ht="12.75">
      <c r="A1375" s="23">
        <v>637027</v>
      </c>
      <c r="B1375" s="292" t="s">
        <v>590</v>
      </c>
      <c r="C1375" s="70"/>
      <c r="D1375" s="12"/>
      <c r="E1375" s="12"/>
      <c r="F1375" s="12"/>
      <c r="G1375" s="284">
        <f aca="true" t="shared" si="229" ref="G1375:L1375">SUM(G1376:G1376)</f>
        <v>20</v>
      </c>
      <c r="H1375" s="14">
        <f t="shared" si="229"/>
        <v>20</v>
      </c>
      <c r="I1375" s="14">
        <f t="shared" si="229"/>
        <v>20</v>
      </c>
      <c r="J1375" s="14">
        <f t="shared" si="229"/>
        <v>0</v>
      </c>
      <c r="K1375" s="14">
        <f t="shared" si="229"/>
        <v>25</v>
      </c>
      <c r="L1375" s="26">
        <f t="shared" si="229"/>
        <v>25</v>
      </c>
      <c r="N1375" s="425"/>
      <c r="P1375" s="547"/>
      <c r="Q1375" s="25">
        <f>SUM(Q1376:Q1376)</f>
        <v>3</v>
      </c>
      <c r="R1375" s="430">
        <f>SUM(Q1375/L1375)*100</f>
        <v>12</v>
      </c>
      <c r="S1375" s="31">
        <v>3</v>
      </c>
      <c r="T1375" s="430">
        <f>SUM(S1375/L1375)*100</f>
        <v>12</v>
      </c>
    </row>
    <row r="1376" spans="1:22" s="627" customFormat="1" ht="12">
      <c r="A1376" s="205"/>
      <c r="B1376" s="647" t="s">
        <v>591</v>
      </c>
      <c r="C1376" s="203"/>
      <c r="D1376" s="203"/>
      <c r="E1376" s="203"/>
      <c r="F1376" s="203"/>
      <c r="G1376" s="641">
        <v>20</v>
      </c>
      <c r="H1376" s="204">
        <v>20</v>
      </c>
      <c r="I1376" s="204">
        <v>20</v>
      </c>
      <c r="J1376" s="204">
        <v>0</v>
      </c>
      <c r="K1376" s="204">
        <v>25</v>
      </c>
      <c r="L1376" s="94">
        <v>25</v>
      </c>
      <c r="M1376" s="562"/>
      <c r="N1376" s="563"/>
      <c r="O1376" s="562"/>
      <c r="P1376" s="565"/>
      <c r="Q1376" s="562">
        <v>3</v>
      </c>
      <c r="R1376" s="563">
        <f>SUM(Q1376/L1376)*100</f>
        <v>12</v>
      </c>
      <c r="S1376" s="562">
        <v>3</v>
      </c>
      <c r="T1376" s="563">
        <f>SUM(S1376/L1376)*100</f>
        <v>12</v>
      </c>
      <c r="U1376" s="562"/>
      <c r="V1376" s="562"/>
    </row>
    <row r="1377" spans="1:20" ht="12.75">
      <c r="A1377" s="90"/>
      <c r="B1377" s="339"/>
      <c r="C1377" s="70"/>
      <c r="D1377" s="12"/>
      <c r="E1377" s="12"/>
      <c r="F1377" s="12"/>
      <c r="G1377" s="284"/>
      <c r="H1377" s="14"/>
      <c r="I1377" s="14"/>
      <c r="J1377" s="14"/>
      <c r="K1377" s="14"/>
      <c r="L1377" s="26"/>
      <c r="N1377" s="425"/>
      <c r="P1377" s="547"/>
      <c r="R1377" s="547"/>
      <c r="T1377" s="547"/>
    </row>
    <row r="1378" spans="1:21" ht="12.75">
      <c r="A1378" s="199">
        <v>642</v>
      </c>
      <c r="B1378" s="340" t="s">
        <v>481</v>
      </c>
      <c r="C1378" s="49"/>
      <c r="D1378" s="12"/>
      <c r="E1378" s="12"/>
      <c r="F1378" s="12"/>
      <c r="G1378" s="193">
        <f aca="true" t="shared" si="230" ref="G1378:M1378">G1379+G1381</f>
        <v>141</v>
      </c>
      <c r="H1378" s="193">
        <f t="shared" si="230"/>
        <v>25</v>
      </c>
      <c r="I1378" s="193">
        <f t="shared" si="230"/>
        <v>77</v>
      </c>
      <c r="J1378" s="193">
        <f t="shared" si="230"/>
        <v>27</v>
      </c>
      <c r="K1378" s="193">
        <f t="shared" si="230"/>
        <v>205</v>
      </c>
      <c r="L1378" s="50">
        <f t="shared" si="230"/>
        <v>201</v>
      </c>
      <c r="M1378" s="197">
        <f t="shared" si="230"/>
        <v>63</v>
      </c>
      <c r="N1378" s="433">
        <f>SUM(M1378/L1378)*100</f>
        <v>31.343283582089555</v>
      </c>
      <c r="O1378" s="197">
        <f>O1379+O1381</f>
        <v>95</v>
      </c>
      <c r="P1378" s="433">
        <f>SUM(O1378/L1378)*100</f>
        <v>47.2636815920398</v>
      </c>
      <c r="Q1378" s="197">
        <f>Q1379+Q1381</f>
        <v>105</v>
      </c>
      <c r="R1378" s="433">
        <f>SUM(Q1378/L1378)*100</f>
        <v>52.23880597014925</v>
      </c>
      <c r="S1378" s="197">
        <f>S1379+S1381</f>
        <v>105</v>
      </c>
      <c r="T1378" s="433">
        <f>SUM(S1378/L1378)*100</f>
        <v>52.23880597014925</v>
      </c>
      <c r="U1378" s="197">
        <f>U1379+U1381</f>
        <v>115</v>
      </c>
    </row>
    <row r="1379" spans="1:21" ht="12.75">
      <c r="A1379" s="23">
        <v>642002</v>
      </c>
      <c r="B1379" s="338" t="s">
        <v>592</v>
      </c>
      <c r="C1379" s="55"/>
      <c r="D1379" s="12"/>
      <c r="E1379" s="12"/>
      <c r="F1379" s="12"/>
      <c r="G1379" s="284">
        <f aca="true" t="shared" si="231" ref="G1379:M1379">SUM(G1380:G1380)</f>
        <v>136</v>
      </c>
      <c r="H1379" s="56">
        <f t="shared" si="231"/>
        <v>20</v>
      </c>
      <c r="I1379" s="56">
        <f t="shared" si="231"/>
        <v>72</v>
      </c>
      <c r="J1379" s="56">
        <f t="shared" si="231"/>
        <v>22</v>
      </c>
      <c r="K1379" s="56">
        <f t="shared" si="231"/>
        <v>200</v>
      </c>
      <c r="L1379" s="92">
        <f t="shared" si="231"/>
        <v>196</v>
      </c>
      <c r="M1379" s="206">
        <f t="shared" si="231"/>
        <v>63</v>
      </c>
      <c r="N1379" s="430">
        <f>SUM(M1379/L1379)*100</f>
        <v>32.142857142857146</v>
      </c>
      <c r="O1379" s="206">
        <f>SUM(O1380:O1380)</f>
        <v>95</v>
      </c>
      <c r="P1379" s="430">
        <f>SUM(O1379/L1379)*100</f>
        <v>48.46938775510204</v>
      </c>
      <c r="Q1379" s="206">
        <f>SUM(Q1380:Q1380)</f>
        <v>105</v>
      </c>
      <c r="R1379" s="430">
        <f>SUM(Q1379/L1379)*100</f>
        <v>53.57142857142857</v>
      </c>
      <c r="S1379" s="31">
        <v>105</v>
      </c>
      <c r="T1379" s="430">
        <f>SUM(S1379/L1379)*100</f>
        <v>53.57142857142857</v>
      </c>
      <c r="U1379" s="92">
        <f>SUM(U1380:U1380)</f>
        <v>115</v>
      </c>
    </row>
    <row r="1380" spans="1:22" s="88" customFormat="1" ht="12.75">
      <c r="A1380" s="205"/>
      <c r="B1380" s="647" t="s">
        <v>593</v>
      </c>
      <c r="C1380" s="203"/>
      <c r="D1380" s="55"/>
      <c r="E1380" s="55"/>
      <c r="F1380" s="55"/>
      <c r="G1380" s="290">
        <v>136</v>
      </c>
      <c r="H1380" s="204">
        <v>20</v>
      </c>
      <c r="I1380" s="204">
        <v>72</v>
      </c>
      <c r="J1380" s="204">
        <v>22</v>
      </c>
      <c r="K1380" s="204">
        <v>200</v>
      </c>
      <c r="L1380" s="94">
        <v>196</v>
      </c>
      <c r="M1380" s="562">
        <v>63</v>
      </c>
      <c r="N1380" s="563">
        <f>SUM(M1380/L1380)*100</f>
        <v>32.142857142857146</v>
      </c>
      <c r="O1380" s="562">
        <v>95</v>
      </c>
      <c r="P1380" s="563">
        <f>SUM(O1380/L1380)*100</f>
        <v>48.46938775510204</v>
      </c>
      <c r="Q1380" s="562">
        <v>105</v>
      </c>
      <c r="R1380" s="563">
        <f>SUM(Q1380/L1380)*100</f>
        <v>53.57142857142857</v>
      </c>
      <c r="S1380" s="562">
        <v>105</v>
      </c>
      <c r="T1380" s="563">
        <f>SUM(S1380/L1380)*100</f>
        <v>53.57142857142857</v>
      </c>
      <c r="U1380" s="397">
        <v>115</v>
      </c>
      <c r="V1380" s="397"/>
    </row>
    <row r="1381" spans="1:20" ht="13.5" thickBot="1">
      <c r="A1381" s="248">
        <v>642014</v>
      </c>
      <c r="B1381" s="295" t="s">
        <v>594</v>
      </c>
      <c r="C1381" s="213"/>
      <c r="D1381" s="19"/>
      <c r="E1381" s="19"/>
      <c r="F1381" s="19"/>
      <c r="G1381" s="296">
        <v>5</v>
      </c>
      <c r="H1381" s="21">
        <v>5</v>
      </c>
      <c r="I1381" s="21">
        <v>5</v>
      </c>
      <c r="J1381" s="21">
        <v>5</v>
      </c>
      <c r="K1381" s="21">
        <v>5</v>
      </c>
      <c r="L1381" s="27">
        <v>5</v>
      </c>
      <c r="M1381" s="458"/>
      <c r="N1381" s="459"/>
      <c r="O1381" s="404"/>
      <c r="P1381" s="548"/>
      <c r="Q1381" s="411"/>
      <c r="R1381" s="548"/>
      <c r="S1381" s="411"/>
      <c r="T1381" s="548"/>
    </row>
    <row r="1383" ht="12.75">
      <c r="A1383" t="s">
        <v>620</v>
      </c>
    </row>
    <row r="1384" ht="12.75">
      <c r="A1384" t="s">
        <v>621</v>
      </c>
    </row>
    <row r="1385" ht="12.75">
      <c r="A1385" t="s">
        <v>622</v>
      </c>
    </row>
    <row r="1386" ht="12.75">
      <c r="A1386" s="109" t="s">
        <v>623</v>
      </c>
    </row>
    <row r="1388" ht="13.5" thickBot="1"/>
    <row r="1389" spans="1:22" ht="13.5" thickBot="1">
      <c r="A1389" s="177" t="s">
        <v>44</v>
      </c>
      <c r="B1389" s="178"/>
      <c r="C1389" s="178"/>
      <c r="D1389" s="179"/>
      <c r="E1389" s="179"/>
      <c r="F1389" s="179"/>
      <c r="G1389" s="15" t="s">
        <v>23</v>
      </c>
      <c r="H1389" s="136"/>
      <c r="I1389" s="137" t="s">
        <v>395</v>
      </c>
      <c r="J1389" s="216"/>
      <c r="K1389" s="10" t="s">
        <v>25</v>
      </c>
      <c r="L1389" s="238" t="s">
        <v>645</v>
      </c>
      <c r="M1389" s="403" t="s">
        <v>296</v>
      </c>
      <c r="N1389" s="426" t="s">
        <v>684</v>
      </c>
      <c r="O1389" s="403" t="s">
        <v>296</v>
      </c>
      <c r="P1389" s="426" t="s">
        <v>683</v>
      </c>
      <c r="Q1389" s="403" t="s">
        <v>296</v>
      </c>
      <c r="R1389" s="426" t="s">
        <v>681</v>
      </c>
      <c r="S1389" s="403" t="s">
        <v>296</v>
      </c>
      <c r="T1389" s="421" t="s">
        <v>681</v>
      </c>
      <c r="U1389" s="403" t="s">
        <v>296</v>
      </c>
      <c r="V1389" s="421" t="s">
        <v>681</v>
      </c>
    </row>
    <row r="1390" spans="1:22" ht="16.5" thickTop="1">
      <c r="A1390" s="239" t="s">
        <v>192</v>
      </c>
      <c r="B1390" s="181" t="s">
        <v>193</v>
      </c>
      <c r="C1390" s="217"/>
      <c r="D1390" s="12"/>
      <c r="E1390" s="12"/>
      <c r="F1390" s="12"/>
      <c r="G1390" s="11" t="s">
        <v>45</v>
      </c>
      <c r="H1390" s="32" t="s">
        <v>27</v>
      </c>
      <c r="I1390" s="6" t="s">
        <v>92</v>
      </c>
      <c r="J1390" s="108" t="s">
        <v>29</v>
      </c>
      <c r="K1390" s="33" t="s">
        <v>46</v>
      </c>
      <c r="L1390" s="208"/>
      <c r="M1390" s="25" t="s">
        <v>297</v>
      </c>
      <c r="N1390" s="425"/>
      <c r="O1390" s="25" t="s">
        <v>750</v>
      </c>
      <c r="P1390" s="547"/>
      <c r="Q1390" s="25" t="s">
        <v>896</v>
      </c>
      <c r="R1390" s="547"/>
      <c r="S1390" s="25" t="s">
        <v>957</v>
      </c>
      <c r="T1390" s="422"/>
      <c r="U1390" s="25" t="s">
        <v>252</v>
      </c>
      <c r="V1390" s="422"/>
    </row>
    <row r="1391" spans="1:22" ht="16.5" thickBot="1">
      <c r="A1391" s="323"/>
      <c r="B1391" s="280"/>
      <c r="C1391" s="281"/>
      <c r="D1391" s="37"/>
      <c r="E1391" s="37"/>
      <c r="F1391" s="37"/>
      <c r="G1391" s="83"/>
      <c r="H1391" s="84">
        <v>38335</v>
      </c>
      <c r="I1391" s="148">
        <v>38587</v>
      </c>
      <c r="J1391" s="110" t="s">
        <v>31</v>
      </c>
      <c r="K1391" s="33" t="s">
        <v>32</v>
      </c>
      <c r="L1391" s="242"/>
      <c r="M1391" s="404"/>
      <c r="N1391" s="429"/>
      <c r="O1391" s="404"/>
      <c r="P1391" s="548"/>
      <c r="Q1391" s="404"/>
      <c r="R1391" s="548"/>
      <c r="S1391" s="404"/>
      <c r="T1391" s="423"/>
      <c r="U1391" s="404"/>
      <c r="V1391" s="423"/>
    </row>
    <row r="1392" spans="1:20" ht="13.5" thickBot="1">
      <c r="A1392" s="186" t="s">
        <v>47</v>
      </c>
      <c r="B1392" s="187"/>
      <c r="C1392" s="39"/>
      <c r="D1392" s="188" t="s">
        <v>48</v>
      </c>
      <c r="E1392" s="19"/>
      <c r="F1392" s="19"/>
      <c r="G1392" s="152">
        <v>1</v>
      </c>
      <c r="H1392" s="41">
        <v>2</v>
      </c>
      <c r="I1392" s="188">
        <v>3</v>
      </c>
      <c r="J1392" s="22">
        <v>4</v>
      </c>
      <c r="K1392" s="40">
        <v>1</v>
      </c>
      <c r="L1392" s="599">
        <v>1</v>
      </c>
      <c r="M1392" s="409"/>
      <c r="N1392" s="424"/>
      <c r="P1392" s="547"/>
      <c r="R1392" s="556"/>
      <c r="S1392" s="415"/>
      <c r="T1392" s="5"/>
    </row>
    <row r="1393" spans="1:21" ht="12.75">
      <c r="A1393" s="326"/>
      <c r="B1393" s="190" t="s">
        <v>228</v>
      </c>
      <c r="C1393" s="190"/>
      <c r="D1393" s="191"/>
      <c r="E1393" s="191"/>
      <c r="F1393" s="191"/>
      <c r="G1393" s="189">
        <v>50</v>
      </c>
      <c r="H1393" s="189">
        <v>50</v>
      </c>
      <c r="I1393" s="189">
        <v>50</v>
      </c>
      <c r="J1393" s="189">
        <f>SUM(J1395)</f>
        <v>0</v>
      </c>
      <c r="K1393" s="189">
        <f>SUM(K1395)</f>
        <v>50</v>
      </c>
      <c r="L1393" s="260">
        <f>SUM(L1395)</f>
        <v>50</v>
      </c>
      <c r="M1393" s="501"/>
      <c r="N1393" s="502"/>
      <c r="P1393" s="547"/>
      <c r="R1393" s="547"/>
      <c r="S1393" s="718">
        <v>0</v>
      </c>
      <c r="T1393" s="717"/>
      <c r="U1393" s="260">
        <f>SUM(U1395)</f>
        <v>4</v>
      </c>
    </row>
    <row r="1394" spans="1:20" ht="12.75">
      <c r="A1394" s="327"/>
      <c r="B1394" s="12"/>
      <c r="C1394" s="12"/>
      <c r="D1394" s="12"/>
      <c r="E1394" s="12"/>
      <c r="F1394" s="12"/>
      <c r="G1394" s="284"/>
      <c r="H1394" s="14"/>
      <c r="I1394" s="14"/>
      <c r="J1394" s="14"/>
      <c r="K1394" s="14"/>
      <c r="L1394" s="26"/>
      <c r="N1394" s="425"/>
      <c r="P1394" s="547"/>
      <c r="R1394" s="547"/>
      <c r="S1394" s="416"/>
      <c r="T1394" s="13"/>
    </row>
    <row r="1395" spans="1:21" ht="12.75">
      <c r="A1395" s="300">
        <v>635</v>
      </c>
      <c r="B1395" s="49" t="s">
        <v>277</v>
      </c>
      <c r="C1395" s="49"/>
      <c r="D1395" s="12"/>
      <c r="E1395" s="12"/>
      <c r="F1395" s="12"/>
      <c r="G1395" s="288">
        <v>50</v>
      </c>
      <c r="H1395" s="66">
        <v>50</v>
      </c>
      <c r="I1395" s="66">
        <v>50</v>
      </c>
      <c r="J1395" s="66">
        <v>0</v>
      </c>
      <c r="K1395" s="66">
        <v>50</v>
      </c>
      <c r="L1395" s="50">
        <f>L1396</f>
        <v>50</v>
      </c>
      <c r="N1395" s="425"/>
      <c r="P1395" s="547"/>
      <c r="R1395" s="547"/>
      <c r="S1395" s="542">
        <v>0</v>
      </c>
      <c r="T1395" s="13"/>
      <c r="U1395" s="31">
        <v>4</v>
      </c>
    </row>
    <row r="1396" spans="1:21" ht="13.5" thickBot="1">
      <c r="A1396" s="341">
        <v>635006</v>
      </c>
      <c r="B1396" s="212" t="s">
        <v>282</v>
      </c>
      <c r="C1396" s="213"/>
      <c r="D1396" s="19"/>
      <c r="E1396" s="19"/>
      <c r="F1396" s="19"/>
      <c r="G1396" s="296"/>
      <c r="H1396" s="21"/>
      <c r="I1396" s="21"/>
      <c r="J1396" s="21"/>
      <c r="K1396" s="73">
        <v>50</v>
      </c>
      <c r="L1396" s="76">
        <v>50</v>
      </c>
      <c r="M1396" s="411"/>
      <c r="N1396" s="429"/>
      <c r="O1396" s="411"/>
      <c r="P1396" s="548"/>
      <c r="Q1396" s="411"/>
      <c r="R1396" s="548"/>
      <c r="S1396" s="411"/>
      <c r="T1396" s="20"/>
      <c r="U1396" s="31">
        <v>4</v>
      </c>
    </row>
    <row r="1397" spans="1:12" ht="12.75">
      <c r="A1397" s="70"/>
      <c r="B1397" s="24"/>
      <c r="C1397" s="55"/>
      <c r="D1397" s="12"/>
      <c r="E1397" s="12"/>
      <c r="F1397" s="12"/>
      <c r="G1397" s="162"/>
      <c r="H1397" s="12"/>
      <c r="I1397" s="12"/>
      <c r="J1397" s="12"/>
      <c r="K1397" s="70"/>
      <c r="L1397" s="59"/>
    </row>
    <row r="1398" spans="1:12" ht="12.75">
      <c r="A1398" s="24" t="s">
        <v>701</v>
      </c>
      <c r="B1398" s="55"/>
      <c r="C1398" s="55"/>
      <c r="D1398" s="12"/>
      <c r="E1398" s="12"/>
      <c r="F1398" s="12"/>
      <c r="G1398" s="162"/>
      <c r="H1398" s="55"/>
      <c r="I1398" s="12"/>
      <c r="J1398" s="12"/>
      <c r="K1398" s="12"/>
      <c r="L1398" s="52"/>
    </row>
    <row r="1399" spans="2:12" ht="13.5" thickBot="1">
      <c r="B1399" s="55"/>
      <c r="C1399" s="55"/>
      <c r="D1399" s="12"/>
      <c r="E1399" s="12"/>
      <c r="F1399" s="12"/>
      <c r="G1399" s="162"/>
      <c r="H1399" s="55"/>
      <c r="I1399" s="12"/>
      <c r="J1399" s="12"/>
      <c r="K1399" s="12"/>
      <c r="L1399" s="52"/>
    </row>
    <row r="1400" spans="1:22" ht="13.5" thickBot="1">
      <c r="A1400" s="177" t="s">
        <v>44</v>
      </c>
      <c r="B1400" s="178"/>
      <c r="C1400" s="178"/>
      <c r="D1400" s="179"/>
      <c r="E1400" s="179"/>
      <c r="F1400" s="179"/>
      <c r="G1400" s="15" t="s">
        <v>23</v>
      </c>
      <c r="H1400" s="136"/>
      <c r="I1400" s="137" t="s">
        <v>395</v>
      </c>
      <c r="J1400" s="216"/>
      <c r="K1400" s="10" t="s">
        <v>25</v>
      </c>
      <c r="L1400" s="238" t="s">
        <v>645</v>
      </c>
      <c r="M1400" s="403" t="s">
        <v>296</v>
      </c>
      <c r="N1400" s="426" t="s">
        <v>684</v>
      </c>
      <c r="O1400" s="403" t="s">
        <v>296</v>
      </c>
      <c r="P1400" s="426" t="s">
        <v>683</v>
      </c>
      <c r="Q1400" s="403" t="s">
        <v>296</v>
      </c>
      <c r="R1400" s="426" t="s">
        <v>681</v>
      </c>
      <c r="S1400" s="403" t="s">
        <v>296</v>
      </c>
      <c r="T1400" s="421" t="s">
        <v>681</v>
      </c>
      <c r="U1400" s="403" t="s">
        <v>296</v>
      </c>
      <c r="V1400" s="421" t="s">
        <v>681</v>
      </c>
    </row>
    <row r="1401" spans="1:22" ht="16.5" thickTop="1">
      <c r="A1401" s="239" t="s">
        <v>196</v>
      </c>
      <c r="B1401" s="181" t="s">
        <v>197</v>
      </c>
      <c r="C1401" s="182"/>
      <c r="D1401" s="12"/>
      <c r="E1401" s="12"/>
      <c r="F1401" s="12"/>
      <c r="G1401" s="11" t="s">
        <v>45</v>
      </c>
      <c r="H1401" s="32" t="s">
        <v>27</v>
      </c>
      <c r="I1401" s="6" t="s">
        <v>92</v>
      </c>
      <c r="J1401" s="108" t="s">
        <v>29</v>
      </c>
      <c r="K1401" s="33" t="s">
        <v>46</v>
      </c>
      <c r="L1401" s="208"/>
      <c r="M1401" s="25" t="s">
        <v>297</v>
      </c>
      <c r="N1401" s="425"/>
      <c r="O1401" s="25" t="s">
        <v>750</v>
      </c>
      <c r="P1401" s="547"/>
      <c r="Q1401" s="25" t="s">
        <v>896</v>
      </c>
      <c r="R1401" s="547"/>
      <c r="S1401" s="25" t="s">
        <v>957</v>
      </c>
      <c r="T1401" s="422"/>
      <c r="U1401" s="25" t="s">
        <v>252</v>
      </c>
      <c r="V1401" s="422"/>
    </row>
    <row r="1402" spans="1:22" ht="13.5" thickBot="1">
      <c r="A1402" s="183"/>
      <c r="B1402" s="184"/>
      <c r="C1402" s="185"/>
      <c r="D1402" s="37"/>
      <c r="E1402" s="37"/>
      <c r="F1402" s="37"/>
      <c r="G1402" s="83"/>
      <c r="H1402" s="84">
        <v>38335</v>
      </c>
      <c r="I1402" s="148">
        <v>38587</v>
      </c>
      <c r="J1402" s="110" t="s">
        <v>31</v>
      </c>
      <c r="K1402" s="33" t="s">
        <v>32</v>
      </c>
      <c r="L1402" s="242"/>
      <c r="M1402" s="404"/>
      <c r="N1402" s="429"/>
      <c r="O1402" s="404"/>
      <c r="P1402" s="548"/>
      <c r="Q1402" s="404"/>
      <c r="R1402" s="548"/>
      <c r="S1402" s="404"/>
      <c r="T1402" s="423"/>
      <c r="U1402" s="404"/>
      <c r="V1402" s="423"/>
    </row>
    <row r="1403" spans="1:20" ht="13.5" thickBot="1">
      <c r="A1403" s="186" t="s">
        <v>47</v>
      </c>
      <c r="B1403" s="187"/>
      <c r="C1403" s="39"/>
      <c r="D1403" s="188" t="s">
        <v>48</v>
      </c>
      <c r="E1403" s="19"/>
      <c r="F1403" s="19"/>
      <c r="G1403" s="152">
        <v>1</v>
      </c>
      <c r="H1403" s="41">
        <v>2</v>
      </c>
      <c r="I1403" s="188">
        <v>3</v>
      </c>
      <c r="J1403" s="22">
        <v>4</v>
      </c>
      <c r="K1403" s="40">
        <v>1</v>
      </c>
      <c r="L1403" s="599">
        <v>1</v>
      </c>
      <c r="M1403" s="409"/>
      <c r="N1403" s="424"/>
      <c r="P1403" s="547"/>
      <c r="R1403" s="556"/>
      <c r="T1403" s="556"/>
    </row>
    <row r="1404" spans="1:22" s="28" customFormat="1" ht="15">
      <c r="A1404" s="445"/>
      <c r="B1404" s="449" t="s">
        <v>228</v>
      </c>
      <c r="C1404" s="372"/>
      <c r="D1404" s="373"/>
      <c r="E1404" s="373"/>
      <c r="F1404" s="446"/>
      <c r="G1404" s="390">
        <f aca="true" t="shared" si="232" ref="G1404:S1404">G1406+G1421</f>
        <v>1089</v>
      </c>
      <c r="H1404" s="391">
        <f t="shared" si="232"/>
        <v>1156</v>
      </c>
      <c r="I1404" s="390">
        <f t="shared" si="232"/>
        <v>2032</v>
      </c>
      <c r="J1404" s="391">
        <f t="shared" si="232"/>
        <v>766</v>
      </c>
      <c r="K1404" s="390">
        <f t="shared" si="232"/>
        <v>3588</v>
      </c>
      <c r="L1404" s="456">
        <f t="shared" si="232"/>
        <v>3508</v>
      </c>
      <c r="M1404" s="391">
        <f t="shared" si="232"/>
        <v>451</v>
      </c>
      <c r="N1404" s="440">
        <f>SUM(M1404/L1404)*100</f>
        <v>12.856328392246294</v>
      </c>
      <c r="O1404" s="391">
        <f t="shared" si="232"/>
        <v>690</v>
      </c>
      <c r="P1404" s="567">
        <f aca="true" t="shared" si="233" ref="P1404:P1414">SUM(O1404/L1404)*100</f>
        <v>19.66932725199544</v>
      </c>
      <c r="Q1404" s="391">
        <f t="shared" si="232"/>
        <v>847</v>
      </c>
      <c r="R1404" s="567">
        <f aca="true" t="shared" si="234" ref="R1404:R1414">SUM(Q1404/L1404)*100</f>
        <v>24.144811858608893</v>
      </c>
      <c r="S1404" s="391">
        <f t="shared" si="232"/>
        <v>1012</v>
      </c>
      <c r="T1404" s="567">
        <f aca="true" t="shared" si="235" ref="T1404:T1414">SUM(S1404/L1404)*100</f>
        <v>28.848346636259976</v>
      </c>
      <c r="U1404" s="783"/>
      <c r="V1404" s="783"/>
    </row>
    <row r="1405" spans="1:20" ht="12.75">
      <c r="A1405" s="11"/>
      <c r="B1405" s="395" t="s">
        <v>37</v>
      </c>
      <c r="C1405" s="12"/>
      <c r="D1405" s="12"/>
      <c r="E1405" s="12"/>
      <c r="F1405" s="13"/>
      <c r="G1405" s="155"/>
      <c r="H1405" s="12"/>
      <c r="I1405" s="14"/>
      <c r="J1405" s="12"/>
      <c r="K1405" s="14"/>
      <c r="L1405" s="396">
        <f>SUM(L1406)</f>
        <v>2508</v>
      </c>
      <c r="M1405" s="121"/>
      <c r="N1405" s="431"/>
      <c r="O1405" s="396">
        <f>SUM(O1406)</f>
        <v>690</v>
      </c>
      <c r="P1405" s="431">
        <f t="shared" si="233"/>
        <v>27.51196172248804</v>
      </c>
      <c r="Q1405" s="122">
        <f>SUM(Q1406)</f>
        <v>847</v>
      </c>
      <c r="R1405" s="431">
        <f t="shared" si="234"/>
        <v>33.771929824561404</v>
      </c>
      <c r="S1405" s="122">
        <f>SUM(S1406)</f>
        <v>1012</v>
      </c>
      <c r="T1405" s="431">
        <f t="shared" si="235"/>
        <v>40.35087719298245</v>
      </c>
    </row>
    <row r="1406" spans="1:20" ht="12.75">
      <c r="A1406" s="199">
        <v>630</v>
      </c>
      <c r="B1406" s="291" t="s">
        <v>506</v>
      </c>
      <c r="C1406" s="49"/>
      <c r="D1406" s="12"/>
      <c r="E1406" s="12"/>
      <c r="F1406" s="13"/>
      <c r="G1406" s="193">
        <f aca="true" t="shared" si="236" ref="G1406:M1406">SUM(G1408:G1417)</f>
        <v>1089</v>
      </c>
      <c r="H1406" s="49">
        <f t="shared" si="236"/>
        <v>1156</v>
      </c>
      <c r="I1406" s="66">
        <f t="shared" si="236"/>
        <v>2032</v>
      </c>
      <c r="J1406" s="51">
        <f t="shared" si="236"/>
        <v>766</v>
      </c>
      <c r="K1406" s="50">
        <f t="shared" si="236"/>
        <v>2588</v>
      </c>
      <c r="L1406" s="319">
        <f>SUM(L1407+L1411+L1416)</f>
        <v>2508</v>
      </c>
      <c r="M1406" s="51">
        <f t="shared" si="236"/>
        <v>451</v>
      </c>
      <c r="N1406" s="433">
        <f>SUM(M1406/L1406)*100</f>
        <v>17.982456140350877</v>
      </c>
      <c r="O1406" s="319">
        <f>SUM(O1407+O1411+O1416)</f>
        <v>690</v>
      </c>
      <c r="P1406" s="433">
        <f t="shared" si="233"/>
        <v>27.51196172248804</v>
      </c>
      <c r="Q1406" s="51">
        <f>SUM(Q1407+Q1411+Q1416)</f>
        <v>847</v>
      </c>
      <c r="R1406" s="433">
        <f t="shared" si="234"/>
        <v>33.771929824561404</v>
      </c>
      <c r="S1406" s="51">
        <f>SUM(S1407+S1411+S1416)</f>
        <v>1012</v>
      </c>
      <c r="T1406" s="433">
        <f t="shared" si="235"/>
        <v>40.35087719298245</v>
      </c>
    </row>
    <row r="1407" spans="1:22" s="131" customFormat="1" ht="12.75">
      <c r="A1407" s="23">
        <v>633003</v>
      </c>
      <c r="B1407" s="292" t="s">
        <v>247</v>
      </c>
      <c r="C1407" s="24"/>
      <c r="D1407" s="24"/>
      <c r="E1407" s="24"/>
      <c r="F1407" s="58"/>
      <c r="G1407" s="304"/>
      <c r="H1407" s="24"/>
      <c r="I1407" s="71"/>
      <c r="J1407" s="24"/>
      <c r="K1407" s="71"/>
      <c r="L1407" s="320">
        <f>SUM(L1408:L1410)</f>
        <v>1478</v>
      </c>
      <c r="M1407" s="389"/>
      <c r="N1407" s="430"/>
      <c r="O1407" s="320">
        <f>SUM(O1408:O1410)</f>
        <v>483</v>
      </c>
      <c r="P1407" s="430">
        <f t="shared" si="233"/>
        <v>32.67929634641407</v>
      </c>
      <c r="Q1407" s="91">
        <f>SUM(Q1408:Q1410)</f>
        <v>594</v>
      </c>
      <c r="R1407" s="430">
        <f t="shared" si="234"/>
        <v>40.189445196211096</v>
      </c>
      <c r="S1407" s="91">
        <f>SUM(S1408:S1410)</f>
        <v>705</v>
      </c>
      <c r="T1407" s="430">
        <f t="shared" si="235"/>
        <v>47.69959404600812</v>
      </c>
      <c r="U1407" s="389"/>
      <c r="V1407" s="389"/>
    </row>
    <row r="1408" spans="1:22" s="627" customFormat="1" ht="12">
      <c r="A1408" s="205"/>
      <c r="B1408" s="593" t="s">
        <v>595</v>
      </c>
      <c r="C1408" s="203"/>
      <c r="D1408" s="203"/>
      <c r="E1408" s="203"/>
      <c r="F1408" s="632"/>
      <c r="G1408" s="645">
        <v>307</v>
      </c>
      <c r="H1408" s="203">
        <v>336</v>
      </c>
      <c r="I1408" s="204">
        <v>336</v>
      </c>
      <c r="J1408" s="203">
        <v>78</v>
      </c>
      <c r="K1408" s="204">
        <v>978</v>
      </c>
      <c r="L1408" s="630">
        <v>978</v>
      </c>
      <c r="M1408" s="562">
        <v>245</v>
      </c>
      <c r="N1408" s="563">
        <f>SUM(M1408/L1408)*100</f>
        <v>25.05112474437628</v>
      </c>
      <c r="O1408" s="562">
        <v>326</v>
      </c>
      <c r="P1408" s="563">
        <f t="shared" si="233"/>
        <v>33.33333333333333</v>
      </c>
      <c r="Q1408" s="562">
        <v>407</v>
      </c>
      <c r="R1408" s="563">
        <f t="shared" si="234"/>
        <v>41.61554192229039</v>
      </c>
      <c r="S1408" s="562">
        <v>489</v>
      </c>
      <c r="T1408" s="563">
        <f t="shared" si="235"/>
        <v>50</v>
      </c>
      <c r="U1408" s="562"/>
      <c r="V1408" s="562"/>
    </row>
    <row r="1409" spans="1:22" s="627" customFormat="1" ht="12">
      <c r="A1409" s="205"/>
      <c r="B1409" s="593" t="s">
        <v>596</v>
      </c>
      <c r="C1409" s="203"/>
      <c r="D1409" s="203"/>
      <c r="E1409" s="203"/>
      <c r="F1409" s="632"/>
      <c r="G1409" s="645">
        <v>150</v>
      </c>
      <c r="H1409" s="203">
        <v>210</v>
      </c>
      <c r="I1409" s="204">
        <f>260+691</f>
        <v>951</v>
      </c>
      <c r="J1409" s="203">
        <v>257</v>
      </c>
      <c r="K1409" s="204">
        <v>420</v>
      </c>
      <c r="L1409" s="630">
        <v>420</v>
      </c>
      <c r="M1409" s="562">
        <v>58</v>
      </c>
      <c r="N1409" s="563">
        <f>SUM(M1409/L1409)*100</f>
        <v>13.80952380952381</v>
      </c>
      <c r="O1409" s="562">
        <v>117</v>
      </c>
      <c r="P1409" s="563">
        <f t="shared" si="233"/>
        <v>27.857142857142858</v>
      </c>
      <c r="Q1409" s="562">
        <v>147</v>
      </c>
      <c r="R1409" s="563">
        <f t="shared" si="234"/>
        <v>35</v>
      </c>
      <c r="S1409" s="562">
        <v>176</v>
      </c>
      <c r="T1409" s="563">
        <f t="shared" si="235"/>
        <v>41.904761904761905</v>
      </c>
      <c r="U1409" s="562"/>
      <c r="V1409" s="562"/>
    </row>
    <row r="1410" spans="1:22" s="627" customFormat="1" ht="12">
      <c r="A1410" s="205"/>
      <c r="B1410" s="593" t="s">
        <v>597</v>
      </c>
      <c r="C1410" s="203"/>
      <c r="D1410" s="203"/>
      <c r="E1410" s="203"/>
      <c r="F1410" s="632"/>
      <c r="G1410" s="645">
        <v>60</v>
      </c>
      <c r="H1410" s="203">
        <v>80</v>
      </c>
      <c r="I1410" s="204">
        <v>80</v>
      </c>
      <c r="J1410" s="203">
        <v>42</v>
      </c>
      <c r="K1410" s="204">
        <v>120</v>
      </c>
      <c r="L1410" s="630">
        <v>80</v>
      </c>
      <c r="M1410" s="562">
        <v>20</v>
      </c>
      <c r="N1410" s="563">
        <f>SUM(M1410/L1410)*100</f>
        <v>25</v>
      </c>
      <c r="O1410" s="562">
        <v>40</v>
      </c>
      <c r="P1410" s="563">
        <f t="shared" si="233"/>
        <v>50</v>
      </c>
      <c r="Q1410" s="562">
        <v>40</v>
      </c>
      <c r="R1410" s="563">
        <f t="shared" si="234"/>
        <v>50</v>
      </c>
      <c r="S1410" s="562">
        <v>40</v>
      </c>
      <c r="T1410" s="563">
        <f t="shared" si="235"/>
        <v>50</v>
      </c>
      <c r="U1410" s="562"/>
      <c r="V1410" s="562"/>
    </row>
    <row r="1411" spans="1:20" ht="12.75">
      <c r="A1411" s="23">
        <v>637004</v>
      </c>
      <c r="B1411" s="294" t="s">
        <v>291</v>
      </c>
      <c r="C1411" s="12"/>
      <c r="D1411" s="12"/>
      <c r="E1411" s="12"/>
      <c r="F1411" s="13"/>
      <c r="G1411" s="155"/>
      <c r="H1411" s="24"/>
      <c r="I1411" s="71"/>
      <c r="J1411" s="24"/>
      <c r="K1411" s="14"/>
      <c r="L1411" s="29">
        <f>SUM(L1412:L1415)</f>
        <v>930</v>
      </c>
      <c r="N1411" s="425"/>
      <c r="O1411" s="29">
        <f>SUM(O1412:O1415)</f>
        <v>180</v>
      </c>
      <c r="P1411" s="430">
        <f t="shared" si="233"/>
        <v>19.35483870967742</v>
      </c>
      <c r="Q1411" s="52">
        <f>SUM(Q1412:Q1415)</f>
        <v>222</v>
      </c>
      <c r="R1411" s="430">
        <f t="shared" si="234"/>
        <v>23.870967741935484</v>
      </c>
      <c r="S1411" s="52">
        <f>SUM(S1412:S1415)</f>
        <v>274</v>
      </c>
      <c r="T1411" s="430">
        <f t="shared" si="235"/>
        <v>29.462365591397848</v>
      </c>
    </row>
    <row r="1412" spans="1:22" s="88" customFormat="1" ht="12.75">
      <c r="A1412" s="93"/>
      <c r="B1412" s="293" t="s">
        <v>598</v>
      </c>
      <c r="C1412" s="55"/>
      <c r="D1412" s="55"/>
      <c r="E1412" s="55"/>
      <c r="F1412" s="54"/>
      <c r="G1412" s="308">
        <v>329</v>
      </c>
      <c r="H1412" s="55">
        <v>320</v>
      </c>
      <c r="I1412" s="53">
        <v>320</v>
      </c>
      <c r="J1412" s="55">
        <v>160</v>
      </c>
      <c r="K1412" s="53">
        <v>360</v>
      </c>
      <c r="L1412" s="211">
        <v>320</v>
      </c>
      <c r="M1412" s="397">
        <v>53</v>
      </c>
      <c r="N1412" s="434">
        <f>SUM(M1412/L1412)*100</f>
        <v>16.5625</v>
      </c>
      <c r="O1412" s="397">
        <v>112</v>
      </c>
      <c r="P1412" s="434">
        <f t="shared" si="233"/>
        <v>35</v>
      </c>
      <c r="Q1412" s="397">
        <v>138</v>
      </c>
      <c r="R1412" s="563">
        <f t="shared" si="234"/>
        <v>43.125</v>
      </c>
      <c r="S1412" s="397">
        <v>165</v>
      </c>
      <c r="T1412" s="563">
        <f t="shared" si="235"/>
        <v>51.5625</v>
      </c>
      <c r="U1412" s="397"/>
      <c r="V1412" s="397"/>
    </row>
    <row r="1413" spans="1:22" s="88" customFormat="1" ht="12.75">
      <c r="A1413" s="93"/>
      <c r="B1413" s="293" t="s">
        <v>599</v>
      </c>
      <c r="C1413" s="55"/>
      <c r="D1413" s="55"/>
      <c r="E1413" s="55"/>
      <c r="F1413" s="54"/>
      <c r="G1413" s="308">
        <v>0</v>
      </c>
      <c r="H1413" s="55">
        <v>0</v>
      </c>
      <c r="I1413" s="53">
        <v>0</v>
      </c>
      <c r="J1413" s="55">
        <v>0</v>
      </c>
      <c r="K1413" s="53">
        <v>360</v>
      </c>
      <c r="L1413" s="211">
        <v>360</v>
      </c>
      <c r="M1413" s="397">
        <v>25</v>
      </c>
      <c r="N1413" s="434">
        <f>SUM(M1413/L1413)*100</f>
        <v>6.944444444444445</v>
      </c>
      <c r="O1413" s="397">
        <v>25</v>
      </c>
      <c r="P1413" s="434">
        <f t="shared" si="233"/>
        <v>6.944444444444445</v>
      </c>
      <c r="Q1413" s="397">
        <v>25</v>
      </c>
      <c r="R1413" s="563">
        <f t="shared" si="234"/>
        <v>6.944444444444445</v>
      </c>
      <c r="S1413" s="397">
        <v>25</v>
      </c>
      <c r="T1413" s="563">
        <f t="shared" si="235"/>
        <v>6.944444444444445</v>
      </c>
      <c r="U1413" s="397"/>
      <c r="V1413" s="397"/>
    </row>
    <row r="1414" spans="1:22" s="88" customFormat="1" ht="12.75">
      <c r="A1414" s="93"/>
      <c r="B1414" s="293" t="s">
        <v>600</v>
      </c>
      <c r="C1414" s="55"/>
      <c r="D1414" s="55"/>
      <c r="E1414" s="55"/>
      <c r="F1414" s="54"/>
      <c r="G1414" s="308">
        <v>140</v>
      </c>
      <c r="H1414" s="55">
        <v>100</v>
      </c>
      <c r="I1414" s="53">
        <v>205</v>
      </c>
      <c r="J1414" s="55">
        <v>140</v>
      </c>
      <c r="K1414" s="53">
        <v>200</v>
      </c>
      <c r="L1414" s="211">
        <v>200</v>
      </c>
      <c r="M1414" s="397">
        <v>25</v>
      </c>
      <c r="N1414" s="434">
        <f>SUM(M1414/L1414)*100</f>
        <v>12.5</v>
      </c>
      <c r="O1414" s="397">
        <v>43</v>
      </c>
      <c r="P1414" s="434">
        <f t="shared" si="233"/>
        <v>21.5</v>
      </c>
      <c r="Q1414" s="397">
        <v>59</v>
      </c>
      <c r="R1414" s="563">
        <f t="shared" si="234"/>
        <v>29.5</v>
      </c>
      <c r="S1414" s="397">
        <v>84</v>
      </c>
      <c r="T1414" s="563">
        <f t="shared" si="235"/>
        <v>42</v>
      </c>
      <c r="U1414" s="397"/>
      <c r="V1414" s="397"/>
    </row>
    <row r="1415" spans="1:22" s="88" customFormat="1" ht="12.75">
      <c r="A1415" s="93"/>
      <c r="B1415" s="293" t="s">
        <v>601</v>
      </c>
      <c r="C1415" s="55"/>
      <c r="D1415" s="55"/>
      <c r="E1415" s="55"/>
      <c r="F1415" s="54"/>
      <c r="G1415" s="308">
        <v>40</v>
      </c>
      <c r="H1415" s="55">
        <v>40</v>
      </c>
      <c r="I1415" s="53">
        <v>40</v>
      </c>
      <c r="J1415" s="55">
        <v>26</v>
      </c>
      <c r="K1415" s="53">
        <v>50</v>
      </c>
      <c r="L1415" s="211">
        <v>50</v>
      </c>
      <c r="M1415" s="397"/>
      <c r="N1415" s="434"/>
      <c r="O1415" s="397"/>
      <c r="P1415" s="554"/>
      <c r="Q1415" s="397"/>
      <c r="R1415" s="554"/>
      <c r="S1415" s="397"/>
      <c r="T1415" s="554"/>
      <c r="U1415" s="397"/>
      <c r="V1415" s="397"/>
    </row>
    <row r="1416" spans="1:20" ht="12.75">
      <c r="A1416" s="23">
        <v>637003</v>
      </c>
      <c r="B1416" s="292" t="s">
        <v>290</v>
      </c>
      <c r="C1416" s="55"/>
      <c r="D1416" s="12"/>
      <c r="E1416" s="12"/>
      <c r="F1416" s="13"/>
      <c r="G1416" s="155"/>
      <c r="H1416" s="12"/>
      <c r="I1416" s="14"/>
      <c r="J1416" s="12"/>
      <c r="K1416" s="14"/>
      <c r="L1416" s="29">
        <f>SUM(L1417)</f>
        <v>100</v>
      </c>
      <c r="N1416" s="425"/>
      <c r="O1416" s="29">
        <f>SUM(O1417)</f>
        <v>27</v>
      </c>
      <c r="P1416" s="430">
        <f>SUM(O1416/L1416)*100</f>
        <v>27</v>
      </c>
      <c r="Q1416" s="52">
        <f>SUM(Q1417)</f>
        <v>31</v>
      </c>
      <c r="R1416" s="430">
        <f>SUM(Q1416/L1416)*100</f>
        <v>31</v>
      </c>
      <c r="S1416" s="52">
        <f>SUM(S1417)</f>
        <v>33</v>
      </c>
      <c r="T1416" s="430">
        <f>SUM(S1416/L1416)*100</f>
        <v>33</v>
      </c>
    </row>
    <row r="1417" spans="1:22" s="88" customFormat="1" ht="12.75">
      <c r="A1417" s="93"/>
      <c r="B1417" s="293" t="s">
        <v>602</v>
      </c>
      <c r="C1417" s="55"/>
      <c r="D1417" s="55"/>
      <c r="E1417" s="55"/>
      <c r="F1417" s="54"/>
      <c r="G1417" s="308">
        <v>63</v>
      </c>
      <c r="H1417" s="55">
        <v>70</v>
      </c>
      <c r="I1417" s="53">
        <v>100</v>
      </c>
      <c r="J1417" s="55">
        <v>63</v>
      </c>
      <c r="K1417" s="53">
        <v>100</v>
      </c>
      <c r="L1417" s="211">
        <v>100</v>
      </c>
      <c r="M1417" s="397">
        <v>25</v>
      </c>
      <c r="N1417" s="434">
        <f>SUM(M1417/L1417)*100</f>
        <v>25</v>
      </c>
      <c r="O1417" s="397">
        <v>27</v>
      </c>
      <c r="P1417" s="434">
        <f>SUM(O1417/L1417)*100</f>
        <v>27</v>
      </c>
      <c r="Q1417" s="397">
        <v>31</v>
      </c>
      <c r="R1417" s="563">
        <f>SUM(Q1417/L1417)*100</f>
        <v>31</v>
      </c>
      <c r="S1417" s="397">
        <v>33</v>
      </c>
      <c r="T1417" s="563">
        <f>SUM(S1417/L1417)*100</f>
        <v>33</v>
      </c>
      <c r="U1417" s="397"/>
      <c r="V1417" s="397"/>
    </row>
    <row r="1418" spans="1:20" ht="12.75">
      <c r="A1418" s="327"/>
      <c r="B1418" s="24"/>
      <c r="C1418" s="55"/>
      <c r="D1418" s="12"/>
      <c r="E1418" s="12"/>
      <c r="F1418" s="13"/>
      <c r="G1418" s="155"/>
      <c r="H1418" s="24"/>
      <c r="I1418" s="71"/>
      <c r="J1418" s="24"/>
      <c r="K1418" s="14"/>
      <c r="L1418" s="29"/>
      <c r="N1418" s="430"/>
      <c r="P1418" s="430"/>
      <c r="R1418" s="547"/>
      <c r="T1418" s="547"/>
    </row>
    <row r="1419" spans="1:20" ht="15">
      <c r="A1419" s="536">
        <v>700</v>
      </c>
      <c r="B1419" s="63" t="s">
        <v>38</v>
      </c>
      <c r="C1419" s="63"/>
      <c r="D1419" s="63"/>
      <c r="E1419" s="63"/>
      <c r="F1419" s="62"/>
      <c r="G1419" s="14"/>
      <c r="H1419" s="12"/>
      <c r="I1419" s="14"/>
      <c r="J1419" s="12"/>
      <c r="K1419" s="26"/>
      <c r="L1419" s="396">
        <f>SUM(L1421)</f>
        <v>1000</v>
      </c>
      <c r="M1419" s="121"/>
      <c r="N1419" s="431"/>
      <c r="O1419" s="121"/>
      <c r="P1419" s="550"/>
      <c r="Q1419" s="121"/>
      <c r="R1419" s="550"/>
      <c r="S1419" s="121">
        <v>0</v>
      </c>
      <c r="T1419" s="550"/>
    </row>
    <row r="1420" spans="1:20" ht="15">
      <c r="A1420" s="536"/>
      <c r="B1420" s="63"/>
      <c r="C1420" s="63"/>
      <c r="D1420" s="63"/>
      <c r="E1420" s="63"/>
      <c r="F1420" s="62"/>
      <c r="G1420" s="14"/>
      <c r="H1420" s="12"/>
      <c r="I1420" s="14"/>
      <c r="J1420" s="12"/>
      <c r="K1420" s="26"/>
      <c r="L1420" s="29"/>
      <c r="N1420" s="425"/>
      <c r="P1420" s="547"/>
      <c r="R1420" s="547"/>
      <c r="T1420" s="547"/>
    </row>
    <row r="1421" spans="1:20" ht="12.75">
      <c r="A1421" s="199">
        <v>713</v>
      </c>
      <c r="B1421" s="291" t="s">
        <v>603</v>
      </c>
      <c r="C1421" s="324"/>
      <c r="D1421" s="237"/>
      <c r="E1421" s="237"/>
      <c r="F1421" s="132"/>
      <c r="G1421" s="302">
        <f aca="true" t="shared" si="237" ref="G1421:L1421">SUM(G1422)</f>
        <v>0</v>
      </c>
      <c r="H1421" s="269">
        <f t="shared" si="237"/>
        <v>0</v>
      </c>
      <c r="I1421" s="302">
        <f t="shared" si="237"/>
        <v>0</v>
      </c>
      <c r="J1421" s="269">
        <f t="shared" si="237"/>
        <v>0</v>
      </c>
      <c r="K1421" s="298">
        <f t="shared" si="237"/>
        <v>1000</v>
      </c>
      <c r="L1421" s="336">
        <f t="shared" si="237"/>
        <v>1000</v>
      </c>
      <c r="N1421" s="425"/>
      <c r="P1421" s="547"/>
      <c r="R1421" s="547"/>
      <c r="S1421" s="399">
        <v>0</v>
      </c>
      <c r="T1421" s="547"/>
    </row>
    <row r="1422" spans="1:20" ht="13.5" thickBot="1">
      <c r="A1422" s="248">
        <v>713005</v>
      </c>
      <c r="B1422" s="295" t="s">
        <v>386</v>
      </c>
      <c r="C1422" s="213"/>
      <c r="D1422" s="19"/>
      <c r="E1422" s="19"/>
      <c r="F1422" s="20"/>
      <c r="G1422" s="296">
        <v>0</v>
      </c>
      <c r="H1422" s="19">
        <v>0</v>
      </c>
      <c r="I1422" s="21">
        <v>0</v>
      </c>
      <c r="J1422" s="19">
        <v>0</v>
      </c>
      <c r="K1422" s="27">
        <v>1000</v>
      </c>
      <c r="L1422" s="342">
        <v>1000</v>
      </c>
      <c r="N1422" s="429"/>
      <c r="O1422" s="411"/>
      <c r="P1422" s="548"/>
      <c r="Q1422" s="411"/>
      <c r="R1422" s="548"/>
      <c r="S1422" s="411"/>
      <c r="T1422" s="548"/>
    </row>
    <row r="1423" spans="1:13" ht="12.75">
      <c r="A1423" s="109"/>
      <c r="B1423" s="55"/>
      <c r="C1423" s="55"/>
      <c r="G1423" s="162"/>
      <c r="I1423" s="12"/>
      <c r="J1423" s="12"/>
      <c r="K1423" s="12"/>
      <c r="M1423" s="419"/>
    </row>
    <row r="1424" spans="1:22" s="131" customFormat="1" ht="12.75">
      <c r="A1424" s="131" t="s">
        <v>624</v>
      </c>
      <c r="B1424" s="55"/>
      <c r="C1424" s="55"/>
      <c r="G1424" s="158"/>
      <c r="I1424" s="24"/>
      <c r="J1424" s="24"/>
      <c r="K1424" s="24"/>
      <c r="L1424" s="389"/>
      <c r="M1424" s="91"/>
      <c r="N1424" s="681"/>
      <c r="O1424" s="389"/>
      <c r="Q1424" s="389"/>
      <c r="S1424" s="389"/>
      <c r="U1424" s="389"/>
      <c r="V1424" s="389"/>
    </row>
    <row r="1425" spans="1:22" s="131" customFormat="1" ht="12.75">
      <c r="A1425" s="131" t="s">
        <v>625</v>
      </c>
      <c r="B1425" s="55"/>
      <c r="C1425" s="55"/>
      <c r="G1425" s="158"/>
      <c r="I1425" s="24"/>
      <c r="J1425" s="24"/>
      <c r="K1425" s="24"/>
      <c r="L1425" s="389"/>
      <c r="M1425" s="91"/>
      <c r="N1425" s="681"/>
      <c r="O1425" s="389"/>
      <c r="Q1425" s="389"/>
      <c r="S1425" s="389"/>
      <c r="U1425" s="389"/>
      <c r="V1425" s="389"/>
    </row>
    <row r="1426" spans="1:22" s="131" customFormat="1" ht="12.75">
      <c r="A1426" s="88" t="s">
        <v>315</v>
      </c>
      <c r="B1426" s="55"/>
      <c r="C1426" s="55"/>
      <c r="G1426" s="158"/>
      <c r="I1426" s="24"/>
      <c r="J1426" s="24"/>
      <c r="K1426" s="24"/>
      <c r="L1426" s="389"/>
      <c r="M1426" s="91"/>
      <c r="N1426" s="681"/>
      <c r="O1426" s="389"/>
      <c r="Q1426" s="389"/>
      <c r="S1426" s="389"/>
      <c r="U1426" s="389"/>
      <c r="V1426" s="389"/>
    </row>
    <row r="1427" spans="1:22" s="131" customFormat="1" ht="12.75">
      <c r="A1427" s="131" t="s">
        <v>314</v>
      </c>
      <c r="B1427" s="55"/>
      <c r="C1427" s="55"/>
      <c r="G1427" s="158"/>
      <c r="I1427" s="24"/>
      <c r="J1427" s="24"/>
      <c r="K1427" s="24"/>
      <c r="L1427" s="389"/>
      <c r="M1427" s="91"/>
      <c r="N1427" s="681"/>
      <c r="O1427" s="389"/>
      <c r="Q1427" s="389"/>
      <c r="S1427" s="389"/>
      <c r="U1427" s="389"/>
      <c r="V1427" s="389"/>
    </row>
    <row r="1428" spans="1:22" s="131" customFormat="1" ht="12.75">
      <c r="A1428" s="131" t="s">
        <v>313</v>
      </c>
      <c r="B1428" s="55"/>
      <c r="C1428" s="55"/>
      <c r="G1428" s="158"/>
      <c r="I1428" s="24"/>
      <c r="J1428" s="24"/>
      <c r="K1428" s="24"/>
      <c r="L1428" s="389"/>
      <c r="M1428" s="91"/>
      <c r="N1428" s="681"/>
      <c r="O1428" s="389"/>
      <c r="Q1428" s="389"/>
      <c r="S1428" s="389"/>
      <c r="U1428" s="389"/>
      <c r="V1428" s="389"/>
    </row>
    <row r="1429" spans="1:22" s="131" customFormat="1" ht="12.75">
      <c r="A1429" s="131" t="s">
        <v>312</v>
      </c>
      <c r="B1429" s="55"/>
      <c r="C1429" s="55"/>
      <c r="G1429" s="158"/>
      <c r="I1429" s="24"/>
      <c r="J1429" s="24"/>
      <c r="K1429" s="24"/>
      <c r="L1429" s="389"/>
      <c r="M1429" s="91"/>
      <c r="N1429" s="681"/>
      <c r="O1429" s="389"/>
      <c r="Q1429" s="389"/>
      <c r="S1429" s="389"/>
      <c r="U1429" s="389"/>
      <c r="V1429" s="389"/>
    </row>
    <row r="1430" spans="1:13" ht="12.75">
      <c r="A1430" s="88" t="s">
        <v>316</v>
      </c>
      <c r="B1430" s="55"/>
      <c r="C1430" s="55"/>
      <c r="G1430" s="162"/>
      <c r="I1430" s="12"/>
      <c r="J1430" s="12"/>
      <c r="K1430" s="12"/>
      <c r="M1430" s="52"/>
    </row>
    <row r="1431" spans="1:13" ht="12.75">
      <c r="A1431" s="109"/>
      <c r="B1431" s="55"/>
      <c r="C1431" s="55"/>
      <c r="G1431" s="162"/>
      <c r="I1431" s="12"/>
      <c r="J1431" s="12"/>
      <c r="K1431" s="12"/>
      <c r="M1431" s="52"/>
    </row>
    <row r="1432" ht="13.5" thickBot="1"/>
    <row r="1433" spans="1:20" ht="13.5" thickBot="1">
      <c r="A1433" s="177" t="s">
        <v>44</v>
      </c>
      <c r="B1433" s="178"/>
      <c r="C1433" s="178"/>
      <c r="D1433" s="179"/>
      <c r="E1433" s="179"/>
      <c r="F1433" s="179"/>
      <c r="G1433" s="15" t="s">
        <v>23</v>
      </c>
      <c r="H1433" s="136"/>
      <c r="I1433" s="137" t="s">
        <v>395</v>
      </c>
      <c r="J1433" s="216"/>
      <c r="K1433" s="10" t="s">
        <v>25</v>
      </c>
      <c r="L1433" s="238" t="s">
        <v>645</v>
      </c>
      <c r="M1433" s="403" t="s">
        <v>296</v>
      </c>
      <c r="N1433" s="426" t="s">
        <v>684</v>
      </c>
      <c r="O1433" s="403" t="s">
        <v>296</v>
      </c>
      <c r="P1433" s="426" t="s">
        <v>683</v>
      </c>
      <c r="Q1433" s="403" t="s">
        <v>296</v>
      </c>
      <c r="R1433" s="426" t="s">
        <v>681</v>
      </c>
      <c r="S1433" s="403" t="s">
        <v>296</v>
      </c>
      <c r="T1433" s="421" t="s">
        <v>681</v>
      </c>
    </row>
    <row r="1434" spans="1:20" ht="16.5" thickTop="1">
      <c r="A1434" s="239" t="s">
        <v>198</v>
      </c>
      <c r="B1434" s="181" t="s">
        <v>199</v>
      </c>
      <c r="C1434" s="182"/>
      <c r="D1434" s="12"/>
      <c r="E1434" s="12"/>
      <c r="F1434" s="12"/>
      <c r="G1434" s="11" t="s">
        <v>45</v>
      </c>
      <c r="H1434" s="32" t="s">
        <v>27</v>
      </c>
      <c r="I1434" s="6" t="s">
        <v>92</v>
      </c>
      <c r="J1434" s="108" t="s">
        <v>29</v>
      </c>
      <c r="K1434" s="33" t="s">
        <v>46</v>
      </c>
      <c r="L1434" s="208"/>
      <c r="M1434" s="25" t="s">
        <v>297</v>
      </c>
      <c r="N1434" s="425"/>
      <c r="O1434" s="25" t="s">
        <v>750</v>
      </c>
      <c r="P1434" s="547"/>
      <c r="Q1434" s="25" t="s">
        <v>896</v>
      </c>
      <c r="R1434" s="547"/>
      <c r="S1434" s="25" t="s">
        <v>957</v>
      </c>
      <c r="T1434" s="422"/>
    </row>
    <row r="1435" spans="1:20" ht="13.5" thickBot="1">
      <c r="A1435" s="183"/>
      <c r="B1435" s="184"/>
      <c r="C1435" s="185"/>
      <c r="D1435" s="37"/>
      <c r="E1435" s="37"/>
      <c r="F1435" s="37"/>
      <c r="G1435" s="83"/>
      <c r="H1435" s="84">
        <v>38335</v>
      </c>
      <c r="I1435" s="148">
        <v>38587</v>
      </c>
      <c r="J1435" s="110" t="s">
        <v>31</v>
      </c>
      <c r="K1435" s="33" t="s">
        <v>32</v>
      </c>
      <c r="L1435" s="242"/>
      <c r="M1435" s="404"/>
      <c r="N1435" s="429"/>
      <c r="O1435" s="404"/>
      <c r="P1435" s="548"/>
      <c r="Q1435" s="404"/>
      <c r="R1435" s="548"/>
      <c r="S1435" s="404"/>
      <c r="T1435" s="423"/>
    </row>
    <row r="1436" spans="1:20" ht="13.5" thickBot="1">
      <c r="A1436" s="186" t="s">
        <v>47</v>
      </c>
      <c r="B1436" s="187"/>
      <c r="C1436" s="39"/>
      <c r="D1436" s="188" t="s">
        <v>48</v>
      </c>
      <c r="E1436" s="19"/>
      <c r="F1436" s="19"/>
      <c r="G1436" s="33">
        <v>1</v>
      </c>
      <c r="H1436" s="41">
        <v>2</v>
      </c>
      <c r="I1436" s="188">
        <v>3</v>
      </c>
      <c r="J1436" s="22">
        <v>4</v>
      </c>
      <c r="K1436" s="40">
        <v>1</v>
      </c>
      <c r="L1436" s="599">
        <v>1</v>
      </c>
      <c r="M1436" s="409"/>
      <c r="N1436" s="424"/>
      <c r="P1436" s="547"/>
      <c r="R1436" s="556"/>
      <c r="T1436" s="556"/>
    </row>
    <row r="1437" spans="1:22" s="28" customFormat="1" ht="15">
      <c r="A1437" s="445"/>
      <c r="B1437" s="445" t="s">
        <v>228</v>
      </c>
      <c r="C1437" s="372"/>
      <c r="D1437" s="373"/>
      <c r="E1437" s="373"/>
      <c r="F1437" s="446"/>
      <c r="G1437" s="390" t="e">
        <f aca="true" t="shared" si="238" ref="G1437:M1437">G1439+G1450</f>
        <v>#REF!</v>
      </c>
      <c r="H1437" s="371" t="e">
        <f t="shared" si="238"/>
        <v>#REF!</v>
      </c>
      <c r="I1437" s="371" t="e">
        <f t="shared" si="238"/>
        <v>#REF!</v>
      </c>
      <c r="J1437" s="460" t="e">
        <f t="shared" si="238"/>
        <v>#REF!</v>
      </c>
      <c r="K1437" s="371" t="e">
        <f t="shared" si="238"/>
        <v>#REF!</v>
      </c>
      <c r="L1437" s="390">
        <f t="shared" si="238"/>
        <v>3303</v>
      </c>
      <c r="M1437" s="445" t="e">
        <f t="shared" si="238"/>
        <v>#REF!</v>
      </c>
      <c r="N1437" s="440" t="e">
        <f>SUM(M1437/L1437)*100</f>
        <v>#REF!</v>
      </c>
      <c r="O1437" s="392">
        <f>O1439+O1450</f>
        <v>258</v>
      </c>
      <c r="P1437" s="567">
        <f>SUM(O1437/L1437)*100</f>
        <v>7.811080835603996</v>
      </c>
      <c r="Q1437" s="392">
        <f>Q1439+Q1450</f>
        <v>2955</v>
      </c>
      <c r="R1437" s="567">
        <f>SUM(Q1437/L1437)*100</f>
        <v>89.46412352406902</v>
      </c>
      <c r="S1437" s="392">
        <f>S1439+S1450</f>
        <v>2701</v>
      </c>
      <c r="T1437" s="567">
        <f>SUM(S1437/L1437)*100</f>
        <v>81.77414471692401</v>
      </c>
      <c r="U1437" s="783"/>
      <c r="V1437" s="783"/>
    </row>
    <row r="1438" spans="1:20" ht="12.75">
      <c r="A1438" s="11"/>
      <c r="B1438" s="395" t="s">
        <v>37</v>
      </c>
      <c r="C1438" s="12"/>
      <c r="D1438" s="12"/>
      <c r="E1438" s="12"/>
      <c r="F1438" s="13"/>
      <c r="G1438" s="155"/>
      <c r="H1438" s="14"/>
      <c r="I1438" s="14"/>
      <c r="J1438" s="13"/>
      <c r="K1438" s="14"/>
      <c r="L1438" s="375">
        <f>SUM(L1439)</f>
        <v>1303</v>
      </c>
      <c r="M1438" s="546"/>
      <c r="N1438" s="493"/>
      <c r="O1438" s="121"/>
      <c r="P1438" s="550"/>
      <c r="Q1438" s="121"/>
      <c r="R1438" s="550"/>
      <c r="S1438" s="376">
        <f>SUM(S1439)</f>
        <v>701</v>
      </c>
      <c r="T1438" s="550"/>
    </row>
    <row r="1439" spans="1:20" ht="12.75">
      <c r="A1439" s="199">
        <v>642</v>
      </c>
      <c r="B1439" s="300" t="s">
        <v>481</v>
      </c>
      <c r="C1439" s="49"/>
      <c r="D1439" s="12"/>
      <c r="E1439" s="12"/>
      <c r="F1439" s="13"/>
      <c r="G1439" s="193" t="e">
        <f>G1440+G1442+G1443+#REF!+G1444</f>
        <v>#REF!</v>
      </c>
      <c r="H1439" s="198" t="e">
        <f>H1440+H1442+H1443+#REF!+H1444</f>
        <v>#REF!</v>
      </c>
      <c r="I1439" s="66" t="e">
        <f>I1440+I1442+I1443+#REF!+I1444</f>
        <v>#REF!</v>
      </c>
      <c r="J1439" s="253" t="e">
        <f>J1440+J1442+J1443+#REF!+J1444</f>
        <v>#REF!</v>
      </c>
      <c r="K1439" s="253" t="e">
        <f>K1440+K1442+K1443+#REF!+K1444</f>
        <v>#REF!</v>
      </c>
      <c r="L1439" s="319">
        <f>L1440+L1441+L1445</f>
        <v>1303</v>
      </c>
      <c r="M1439" s="542" t="e">
        <f>M1440+M1441+M1445+M1450</f>
        <v>#REF!</v>
      </c>
      <c r="N1439" s="540" t="e">
        <f>SUM(M1439/L1439)*100</f>
        <v>#REF!</v>
      </c>
      <c r="O1439" s="51">
        <f>O1440+O1441</f>
        <v>258</v>
      </c>
      <c r="P1439" s="433">
        <f>SUM(O1439/L1439)*100</f>
        <v>19.80046047582502</v>
      </c>
      <c r="Q1439" s="51">
        <f>Q1440+Q1441+Q1445</f>
        <v>955</v>
      </c>
      <c r="R1439" s="433">
        <f>SUM(Q1439/L1439)*100</f>
        <v>73.29240214888718</v>
      </c>
      <c r="S1439" s="51">
        <f>S1440+S1441+S1445</f>
        <v>701</v>
      </c>
      <c r="T1439" s="433">
        <f>SUM(S1439/L1439)*100</f>
        <v>53.798925556408285</v>
      </c>
    </row>
    <row r="1440" spans="1:20" ht="12.75">
      <c r="A1440" s="23">
        <v>642007</v>
      </c>
      <c r="B1440" s="23" t="s">
        <v>626</v>
      </c>
      <c r="C1440" s="24"/>
      <c r="D1440" s="12"/>
      <c r="E1440" s="12"/>
      <c r="F1440" s="13"/>
      <c r="G1440" s="155" t="e">
        <f>SUM(#REF!)</f>
        <v>#REF!</v>
      </c>
      <c r="H1440" s="14">
        <v>500</v>
      </c>
      <c r="I1440" s="14">
        <v>500</v>
      </c>
      <c r="J1440" s="13">
        <v>500</v>
      </c>
      <c r="K1440" s="14">
        <v>500</v>
      </c>
      <c r="L1440" s="26">
        <v>300</v>
      </c>
      <c r="M1440" s="416"/>
      <c r="N1440" s="532"/>
      <c r="P1440" s="547"/>
      <c r="R1440" s="547"/>
      <c r="S1440" s="31">
        <v>0</v>
      </c>
      <c r="T1440" s="547"/>
    </row>
    <row r="1441" spans="1:20" ht="12.75">
      <c r="A1441" s="23">
        <v>642002</v>
      </c>
      <c r="B1441" s="23" t="s">
        <v>627</v>
      </c>
      <c r="C1441" s="24"/>
      <c r="D1441" s="24"/>
      <c r="E1441" s="12"/>
      <c r="F1441" s="13"/>
      <c r="G1441" s="155"/>
      <c r="H1441" s="14"/>
      <c r="I1441" s="14"/>
      <c r="J1441" s="13"/>
      <c r="K1441" s="14"/>
      <c r="L1441" s="31">
        <f>SUM(L1442:L1444)</f>
        <v>603</v>
      </c>
      <c r="M1441" s="416">
        <f>SUM(M1442:M1444)</f>
        <v>0</v>
      </c>
      <c r="N1441" s="537">
        <f>SUM(M1441/L1441)*100</f>
        <v>0</v>
      </c>
      <c r="O1441" s="25">
        <f>SUM(O1442:O1444)</f>
        <v>258</v>
      </c>
      <c r="P1441" s="430">
        <f>SUM(O1441/L1441)*100</f>
        <v>42.78606965174129</v>
      </c>
      <c r="Q1441" s="25">
        <f>SUM(Q1442:Q1444)</f>
        <v>721</v>
      </c>
      <c r="R1441" s="430">
        <f>SUM(Q1441/L1441)*100</f>
        <v>119.56882255389718</v>
      </c>
      <c r="S1441" s="25">
        <f>SUM(S1442:S1444)</f>
        <v>383</v>
      </c>
      <c r="T1441" s="430">
        <f>SUM(S1441/L1441)*100</f>
        <v>63.51575456053068</v>
      </c>
    </row>
    <row r="1442" spans="1:22" s="88" customFormat="1" ht="12.75">
      <c r="A1442" s="93"/>
      <c r="B1442" s="93" t="s">
        <v>628</v>
      </c>
      <c r="C1442" s="55"/>
      <c r="D1442" s="55"/>
      <c r="E1442" s="55"/>
      <c r="F1442" s="54"/>
      <c r="G1442" s="308">
        <v>200</v>
      </c>
      <c r="H1442" s="53">
        <v>675</v>
      </c>
      <c r="I1442" s="53">
        <f>475-5</f>
        <v>470</v>
      </c>
      <c r="J1442" s="54">
        <v>181</v>
      </c>
      <c r="K1442" s="53"/>
      <c r="L1442" s="56">
        <v>478</v>
      </c>
      <c r="M1442" s="544"/>
      <c r="N1442" s="541"/>
      <c r="O1442" s="397">
        <v>223</v>
      </c>
      <c r="P1442" s="434">
        <f>SUM(O1442/L1442)*100</f>
        <v>46.65271966527197</v>
      </c>
      <c r="Q1442" s="397">
        <v>343</v>
      </c>
      <c r="R1442" s="434">
        <f>SUM(Q1442/L1442)*100</f>
        <v>71.75732217573221</v>
      </c>
      <c r="S1442" s="397">
        <v>348</v>
      </c>
      <c r="T1442" s="434">
        <f>SUM(S1442/L1442)*100</f>
        <v>72.80334728033473</v>
      </c>
      <c r="U1442" s="397"/>
      <c r="V1442" s="397"/>
    </row>
    <row r="1443" spans="1:22" s="88" customFormat="1" ht="12.75">
      <c r="A1443" s="93"/>
      <c r="B1443" s="205" t="s">
        <v>783</v>
      </c>
      <c r="C1443" s="55"/>
      <c r="D1443" s="55"/>
      <c r="E1443" s="55"/>
      <c r="F1443" s="54"/>
      <c r="G1443" s="308">
        <v>20</v>
      </c>
      <c r="H1443" s="53">
        <v>0</v>
      </c>
      <c r="I1443" s="53">
        <v>0</v>
      </c>
      <c r="J1443" s="54">
        <v>0</v>
      </c>
      <c r="K1443" s="53"/>
      <c r="L1443" s="56">
        <v>90</v>
      </c>
      <c r="M1443" s="544"/>
      <c r="N1443" s="541"/>
      <c r="O1443" s="397">
        <v>35</v>
      </c>
      <c r="P1443" s="434">
        <f>SUM(O1443/L1443)*100</f>
        <v>38.88888888888889</v>
      </c>
      <c r="Q1443" s="397">
        <v>343</v>
      </c>
      <c r="R1443" s="434">
        <f>SUM(Q1443/L1443)*100</f>
        <v>381.1111111111111</v>
      </c>
      <c r="S1443" s="397">
        <v>0</v>
      </c>
      <c r="T1443" s="554">
        <v>0</v>
      </c>
      <c r="U1443" s="397"/>
      <c r="V1443" s="397"/>
    </row>
    <row r="1444" spans="1:22" s="88" customFormat="1" ht="12.75">
      <c r="A1444" s="93"/>
      <c r="B1444" s="205" t="s">
        <v>784</v>
      </c>
      <c r="C1444" s="55"/>
      <c r="D1444" s="55"/>
      <c r="E1444" s="55"/>
      <c r="F1444" s="54"/>
      <c r="G1444" s="308">
        <v>30</v>
      </c>
      <c r="H1444" s="53">
        <v>0</v>
      </c>
      <c r="I1444" s="53">
        <v>0</v>
      </c>
      <c r="J1444" s="54">
        <v>0</v>
      </c>
      <c r="K1444" s="53"/>
      <c r="L1444" s="56">
        <v>35</v>
      </c>
      <c r="M1444" s="544"/>
      <c r="N1444" s="541"/>
      <c r="O1444" s="397"/>
      <c r="P1444" s="554"/>
      <c r="Q1444" s="397">
        <v>35</v>
      </c>
      <c r="R1444" s="434">
        <f>SUM(Q1444/L1444)*100</f>
        <v>100</v>
      </c>
      <c r="S1444" s="397">
        <v>35</v>
      </c>
      <c r="T1444" s="434">
        <f>SUM(S1444/L1444)*100</f>
        <v>100</v>
      </c>
      <c r="U1444" s="397"/>
      <c r="V1444" s="397"/>
    </row>
    <row r="1445" spans="1:20" ht="12.75">
      <c r="A1445" s="23"/>
      <c r="B1445" s="90" t="s">
        <v>627</v>
      </c>
      <c r="C1445" s="24"/>
      <c r="D1445" s="12"/>
      <c r="E1445" s="12"/>
      <c r="F1445" s="13"/>
      <c r="G1445" s="155"/>
      <c r="H1445" s="14"/>
      <c r="I1445" s="14"/>
      <c r="J1445" s="13"/>
      <c r="K1445" s="13"/>
      <c r="L1445" s="29">
        <v>400</v>
      </c>
      <c r="M1445" s="416" t="e">
        <f>SUM(M1446+#REF!)</f>
        <v>#REF!</v>
      </c>
      <c r="N1445" s="532"/>
      <c r="P1445" s="547"/>
      <c r="Q1445" s="31">
        <v>234</v>
      </c>
      <c r="R1445" s="430">
        <f>SUM(Q1445/L1445)*100</f>
        <v>58.5</v>
      </c>
      <c r="S1445" s="31">
        <f>SUM(S1446)</f>
        <v>318</v>
      </c>
      <c r="T1445" s="430">
        <f>SUM(S1445/L1445)*100</f>
        <v>79.5</v>
      </c>
    </row>
    <row r="1446" spans="1:22" s="88" customFormat="1" ht="12.75">
      <c r="A1446" s="93"/>
      <c r="B1446" s="93" t="s">
        <v>785</v>
      </c>
      <c r="C1446" s="55"/>
      <c r="D1446" s="55"/>
      <c r="E1446" s="55"/>
      <c r="F1446" s="54"/>
      <c r="G1446" s="308"/>
      <c r="H1446" s="53"/>
      <c r="I1446" s="53"/>
      <c r="J1446" s="54"/>
      <c r="K1446" s="54"/>
      <c r="L1446" s="211">
        <v>400</v>
      </c>
      <c r="M1446" s="544">
        <v>100</v>
      </c>
      <c r="N1446" s="541"/>
      <c r="O1446" s="397"/>
      <c r="P1446" s="554"/>
      <c r="Q1446" s="397">
        <v>234</v>
      </c>
      <c r="R1446" s="554"/>
      <c r="S1446" s="397">
        <v>318</v>
      </c>
      <c r="T1446" s="434">
        <f>SUM(S1446/L1446)*100</f>
        <v>79.5</v>
      </c>
      <c r="U1446" s="397"/>
      <c r="V1446" s="397"/>
    </row>
    <row r="1447" spans="1:20" ht="12.75">
      <c r="A1447" s="23"/>
      <c r="B1447" s="23"/>
      <c r="C1447" s="24"/>
      <c r="D1447" s="12"/>
      <c r="E1447" s="12"/>
      <c r="F1447" s="13"/>
      <c r="G1447" s="155"/>
      <c r="H1447" s="14"/>
      <c r="I1447" s="14"/>
      <c r="J1447" s="13"/>
      <c r="K1447" s="13"/>
      <c r="L1447" s="29"/>
      <c r="M1447" s="416"/>
      <c r="N1447" s="532"/>
      <c r="P1447" s="547"/>
      <c r="R1447" s="547"/>
      <c r="T1447" s="547"/>
    </row>
    <row r="1448" spans="1:22" s="109" customFormat="1" ht="12.75">
      <c r="A1448" s="394"/>
      <c r="B1448" s="394" t="s">
        <v>895</v>
      </c>
      <c r="C1448" s="237"/>
      <c r="D1448" s="237"/>
      <c r="E1448" s="237"/>
      <c r="F1448" s="132"/>
      <c r="G1448" s="321"/>
      <c r="H1448" s="196"/>
      <c r="I1448" s="196"/>
      <c r="J1448" s="132"/>
      <c r="K1448" s="132"/>
      <c r="L1448" s="396">
        <f>SUM(L1450)</f>
        <v>2000</v>
      </c>
      <c r="M1448" s="546"/>
      <c r="N1448" s="493"/>
      <c r="O1448" s="121"/>
      <c r="P1448" s="550"/>
      <c r="Q1448" s="121"/>
      <c r="R1448" s="550"/>
      <c r="S1448" s="122">
        <f>SUM(S1450)</f>
        <v>2000</v>
      </c>
      <c r="T1448" s="431">
        <f>SUM(S1448/L1448)*100</f>
        <v>100</v>
      </c>
      <c r="U1448" s="121"/>
      <c r="V1448" s="121"/>
    </row>
    <row r="1449" spans="1:20" ht="12.75">
      <c r="A1449" s="23"/>
      <c r="B1449" s="23"/>
      <c r="C1449" s="24"/>
      <c r="D1449" s="12"/>
      <c r="E1449" s="12"/>
      <c r="F1449" s="13"/>
      <c r="G1449" s="155"/>
      <c r="H1449" s="14"/>
      <c r="I1449" s="14"/>
      <c r="J1449" s="13"/>
      <c r="K1449" s="13"/>
      <c r="L1449" s="29"/>
      <c r="M1449" s="416"/>
      <c r="N1449" s="532"/>
      <c r="P1449" s="547"/>
      <c r="R1449" s="547"/>
      <c r="T1449" s="547"/>
    </row>
    <row r="1450" spans="1:20" ht="12.75">
      <c r="A1450" s="199">
        <v>722</v>
      </c>
      <c r="B1450" s="199" t="s">
        <v>481</v>
      </c>
      <c r="C1450" s="49"/>
      <c r="D1450" s="49"/>
      <c r="E1450" s="49"/>
      <c r="F1450" s="48"/>
      <c r="G1450" s="66">
        <f>SUM(G1451)</f>
        <v>50</v>
      </c>
      <c r="H1450" s="66">
        <f>SUM(H1451)</f>
        <v>0</v>
      </c>
      <c r="I1450" s="66">
        <f>SUM(I1451)</f>
        <v>0</v>
      </c>
      <c r="J1450" s="48">
        <f>SUM(J1451)</f>
        <v>0</v>
      </c>
      <c r="K1450" s="48">
        <f>SUM(K1451)</f>
        <v>0</v>
      </c>
      <c r="L1450" s="319">
        <v>2000</v>
      </c>
      <c r="M1450" s="416"/>
      <c r="N1450" s="532"/>
      <c r="P1450" s="547"/>
      <c r="Q1450" s="399">
        <v>2000</v>
      </c>
      <c r="R1450" s="433">
        <f>SUM(Q1450/L1450)*100</f>
        <v>100</v>
      </c>
      <c r="S1450" s="399">
        <v>2000</v>
      </c>
      <c r="T1450" s="433">
        <f>SUM(S1450/L1450)*100</f>
        <v>100</v>
      </c>
    </row>
    <row r="1451" spans="1:20" ht="13.5" thickBot="1">
      <c r="A1451" s="18">
        <v>722001</v>
      </c>
      <c r="B1451" s="18" t="s">
        <v>629</v>
      </c>
      <c r="C1451" s="19"/>
      <c r="D1451" s="19"/>
      <c r="E1451" s="19"/>
      <c r="F1451" s="20"/>
      <c r="G1451" s="21">
        <v>50</v>
      </c>
      <c r="H1451" s="21"/>
      <c r="I1451" s="21"/>
      <c r="J1451" s="20"/>
      <c r="K1451" s="21"/>
      <c r="L1451" s="27">
        <v>2000</v>
      </c>
      <c r="M1451" s="411"/>
      <c r="N1451" s="602"/>
      <c r="O1451" s="411"/>
      <c r="P1451" s="548"/>
      <c r="Q1451" s="411">
        <v>2000</v>
      </c>
      <c r="R1451" s="443">
        <f>SUM(Q1451/L1451)*100</f>
        <v>100</v>
      </c>
      <c r="S1451" s="411">
        <v>2000</v>
      </c>
      <c r="T1451" s="443">
        <f>SUM(S1451/L1451)*100</f>
        <v>100</v>
      </c>
    </row>
    <row r="1452" spans="1:12" ht="12.75">
      <c r="A1452" s="12"/>
      <c r="B1452" s="12"/>
      <c r="C1452" s="12"/>
      <c r="D1452" s="12"/>
      <c r="E1452" s="12"/>
      <c r="F1452" s="12"/>
      <c r="G1452" s="12"/>
      <c r="H1452" s="12"/>
      <c r="I1452" s="12"/>
      <c r="J1452" s="12"/>
      <c r="K1452" s="12"/>
      <c r="L1452" s="52"/>
    </row>
    <row r="1453" spans="1:12" ht="12.75">
      <c r="A1453" s="12" t="s">
        <v>317</v>
      </c>
      <c r="B1453" s="12"/>
      <c r="C1453" s="12"/>
      <c r="D1453" s="12"/>
      <c r="E1453" s="12"/>
      <c r="F1453" s="12"/>
      <c r="G1453" s="12"/>
      <c r="H1453" s="12"/>
      <c r="I1453" s="12"/>
      <c r="J1453" s="12"/>
      <c r="K1453" s="12"/>
      <c r="L1453" s="52"/>
    </row>
    <row r="1454" spans="1:22" s="88" customFormat="1" ht="12.75">
      <c r="A1454" s="55" t="s">
        <v>318</v>
      </c>
      <c r="B1454" s="55"/>
      <c r="C1454" s="55"/>
      <c r="D1454" s="55"/>
      <c r="E1454" s="55"/>
      <c r="F1454" s="55"/>
      <c r="G1454" s="55"/>
      <c r="H1454" s="55"/>
      <c r="I1454" s="55"/>
      <c r="J1454" s="55"/>
      <c r="K1454" s="55"/>
      <c r="L1454" s="57"/>
      <c r="M1454" s="397"/>
      <c r="N1454" s="712"/>
      <c r="O1454" s="397"/>
      <c r="Q1454" s="397"/>
      <c r="S1454" s="397"/>
      <c r="U1454" s="397"/>
      <c r="V1454" s="397"/>
    </row>
    <row r="1455" spans="1:12" ht="12.75">
      <c r="A1455" s="12" t="s">
        <v>319</v>
      </c>
      <c r="B1455" s="12"/>
      <c r="C1455" s="12"/>
      <c r="D1455" s="12"/>
      <c r="E1455" s="12"/>
      <c r="F1455" s="12"/>
      <c r="G1455" s="12"/>
      <c r="H1455" s="12"/>
      <c r="I1455" s="12"/>
      <c r="J1455" s="12"/>
      <c r="K1455" s="12"/>
      <c r="L1455" s="52"/>
    </row>
    <row r="1456" spans="1:12" ht="12.75">
      <c r="A1456" s="12" t="s">
        <v>320</v>
      </c>
      <c r="B1456" s="12"/>
      <c r="C1456" s="12"/>
      <c r="D1456" s="12"/>
      <c r="E1456" s="12"/>
      <c r="F1456" s="12"/>
      <c r="G1456" s="12"/>
      <c r="H1456" s="12"/>
      <c r="I1456" s="12"/>
      <c r="J1456" s="12"/>
      <c r="K1456" s="12"/>
      <c r="L1456" s="52"/>
    </row>
    <row r="1457" spans="1:12" ht="12.75">
      <c r="A1457" s="12" t="s">
        <v>321</v>
      </c>
      <c r="B1457" s="12"/>
      <c r="C1457" s="12"/>
      <c r="D1457" s="12"/>
      <c r="E1457" s="12"/>
      <c r="F1457" s="12"/>
      <c r="G1457" s="12"/>
      <c r="H1457" s="12"/>
      <c r="I1457" s="12"/>
      <c r="J1457" s="12"/>
      <c r="K1457" s="12"/>
      <c r="L1457" s="52"/>
    </row>
    <row r="1458" spans="1:12" ht="12.75">
      <c r="A1458" s="12" t="s">
        <v>322</v>
      </c>
      <c r="B1458" s="12"/>
      <c r="C1458" s="12"/>
      <c r="D1458" s="12"/>
      <c r="E1458" s="12"/>
      <c r="F1458" s="12"/>
      <c r="G1458" s="12"/>
      <c r="H1458" s="12"/>
      <c r="I1458" s="12"/>
      <c r="J1458" s="12"/>
      <c r="K1458" s="12"/>
      <c r="L1458" s="52"/>
    </row>
    <row r="1459" spans="1:12" ht="12.75">
      <c r="A1459" s="12"/>
      <c r="B1459" s="12"/>
      <c r="C1459" s="12"/>
      <c r="D1459" s="12"/>
      <c r="E1459" s="12"/>
      <c r="F1459" s="12"/>
      <c r="G1459" s="12"/>
      <c r="H1459" s="12"/>
      <c r="I1459" s="12"/>
      <c r="J1459" s="12"/>
      <c r="K1459" s="12"/>
      <c r="L1459" s="52"/>
    </row>
    <row r="1460" spans="1:10" ht="15">
      <c r="A1460" s="325" t="s">
        <v>630</v>
      </c>
      <c r="H1460" s="12"/>
      <c r="I1460" s="12"/>
      <c r="J1460" s="12"/>
    </row>
    <row r="1461" spans="2:10" ht="16.5" thickBot="1">
      <c r="B1461" s="1"/>
      <c r="C1461" s="1"/>
      <c r="H1461" s="12"/>
      <c r="I1461" s="12"/>
      <c r="J1461" s="12"/>
    </row>
    <row r="1462" spans="1:20" ht="13.5" thickBot="1">
      <c r="A1462" s="177" t="s">
        <v>44</v>
      </c>
      <c r="B1462" s="178"/>
      <c r="C1462" s="178"/>
      <c r="D1462" s="179"/>
      <c r="E1462" s="179"/>
      <c r="F1462" s="179"/>
      <c r="G1462" s="15" t="s">
        <v>23</v>
      </c>
      <c r="H1462" s="136"/>
      <c r="I1462" s="137" t="s">
        <v>395</v>
      </c>
      <c r="J1462" s="216"/>
      <c r="K1462" s="10" t="s">
        <v>25</v>
      </c>
      <c r="L1462" s="238" t="s">
        <v>645</v>
      </c>
      <c r="M1462" s="403" t="s">
        <v>296</v>
      </c>
      <c r="N1462" s="426" t="s">
        <v>684</v>
      </c>
      <c r="O1462" s="403" t="s">
        <v>296</v>
      </c>
      <c r="P1462" s="426" t="s">
        <v>683</v>
      </c>
      <c r="Q1462" s="403" t="s">
        <v>296</v>
      </c>
      <c r="R1462" s="426" t="s">
        <v>681</v>
      </c>
      <c r="S1462" s="403" t="s">
        <v>296</v>
      </c>
      <c r="T1462" s="421" t="s">
        <v>681</v>
      </c>
    </row>
    <row r="1463" spans="1:20" ht="16.5" thickTop="1">
      <c r="A1463" s="239" t="s">
        <v>202</v>
      </c>
      <c r="B1463" s="181" t="s">
        <v>203</v>
      </c>
      <c r="C1463" s="182"/>
      <c r="D1463" s="12"/>
      <c r="E1463" s="12"/>
      <c r="F1463" s="12"/>
      <c r="G1463" s="11" t="s">
        <v>45</v>
      </c>
      <c r="H1463" s="32" t="s">
        <v>27</v>
      </c>
      <c r="I1463" s="6" t="s">
        <v>92</v>
      </c>
      <c r="J1463" s="108" t="s">
        <v>29</v>
      </c>
      <c r="K1463" s="33" t="s">
        <v>46</v>
      </c>
      <c r="L1463" s="208"/>
      <c r="M1463" s="25" t="s">
        <v>297</v>
      </c>
      <c r="N1463" s="425"/>
      <c r="O1463" s="25" t="s">
        <v>750</v>
      </c>
      <c r="P1463" s="547"/>
      <c r="Q1463" s="25" t="s">
        <v>896</v>
      </c>
      <c r="R1463" s="547"/>
      <c r="S1463" s="25" t="s">
        <v>957</v>
      </c>
      <c r="T1463" s="422"/>
    </row>
    <row r="1464" spans="1:20" ht="13.5" thickBot="1">
      <c r="A1464" s="183"/>
      <c r="B1464" s="184"/>
      <c r="C1464" s="185"/>
      <c r="D1464" s="37"/>
      <c r="E1464" s="37"/>
      <c r="F1464" s="37"/>
      <c r="G1464" s="83"/>
      <c r="H1464" s="84">
        <v>38335</v>
      </c>
      <c r="I1464" s="148">
        <v>38587</v>
      </c>
      <c r="J1464" s="110" t="s">
        <v>31</v>
      </c>
      <c r="K1464" s="33" t="s">
        <v>32</v>
      </c>
      <c r="L1464" s="242"/>
      <c r="M1464" s="404"/>
      <c r="N1464" s="429"/>
      <c r="O1464" s="404"/>
      <c r="P1464" s="548"/>
      <c r="Q1464" s="404"/>
      <c r="R1464" s="548"/>
      <c r="S1464" s="404"/>
      <c r="T1464" s="423"/>
    </row>
    <row r="1465" spans="1:20" ht="13.5" thickBot="1">
      <c r="A1465" s="186" t="s">
        <v>47</v>
      </c>
      <c r="B1465" s="187"/>
      <c r="C1465" s="39"/>
      <c r="D1465" s="188" t="s">
        <v>48</v>
      </c>
      <c r="E1465" s="19"/>
      <c r="F1465" s="19"/>
      <c r="G1465" s="33">
        <v>1</v>
      </c>
      <c r="H1465" s="41">
        <v>2</v>
      </c>
      <c r="I1465" s="188">
        <v>3</v>
      </c>
      <c r="J1465" s="22">
        <v>4</v>
      </c>
      <c r="K1465" s="40">
        <v>1</v>
      </c>
      <c r="L1465" s="599">
        <v>1</v>
      </c>
      <c r="M1465" s="409"/>
      <c r="N1465" s="424"/>
      <c r="P1465" s="547"/>
      <c r="R1465" s="556"/>
      <c r="T1465" s="556"/>
    </row>
    <row r="1466" spans="1:22" s="28" customFormat="1" ht="15">
      <c r="A1466" s="445"/>
      <c r="B1466" s="449" t="s">
        <v>228</v>
      </c>
      <c r="C1466" s="372"/>
      <c r="D1466" s="373"/>
      <c r="E1466" s="373"/>
      <c r="F1466" s="373"/>
      <c r="G1466" s="390">
        <f aca="true" t="shared" si="239" ref="G1466:L1466">G1468+G1472</f>
        <v>1030</v>
      </c>
      <c r="H1466" s="390">
        <f t="shared" si="239"/>
        <v>130</v>
      </c>
      <c r="I1466" s="390">
        <f t="shared" si="239"/>
        <v>1430</v>
      </c>
      <c r="J1466" s="390">
        <f t="shared" si="239"/>
        <v>0</v>
      </c>
      <c r="K1466" s="390">
        <f t="shared" si="239"/>
        <v>530</v>
      </c>
      <c r="L1466" s="390">
        <f t="shared" si="239"/>
        <v>1637</v>
      </c>
      <c r="M1466" s="503"/>
      <c r="N1466" s="504"/>
      <c r="O1466" s="576"/>
      <c r="P1466" s="557"/>
      <c r="Q1466" s="392">
        <f>Q1468+Q1472</f>
        <v>498</v>
      </c>
      <c r="R1466" s="440">
        <f>SUM(Q1466/L1466)*100</f>
        <v>30.421502748930973</v>
      </c>
      <c r="S1466" s="392">
        <f>S1468+S1472</f>
        <v>498</v>
      </c>
      <c r="T1466" s="440">
        <f>SUM(S1466/L1466)*100</f>
        <v>30.421502748930973</v>
      </c>
      <c r="U1466" s="783"/>
      <c r="V1466" s="783"/>
    </row>
    <row r="1467" spans="1:20" ht="12.75">
      <c r="A1467" s="11"/>
      <c r="B1467" s="294"/>
      <c r="C1467" s="12"/>
      <c r="D1467" s="12"/>
      <c r="E1467" s="12"/>
      <c r="F1467" s="12"/>
      <c r="G1467" s="155"/>
      <c r="H1467" s="26"/>
      <c r="I1467" s="26"/>
      <c r="J1467" s="26"/>
      <c r="K1467" s="26"/>
      <c r="L1467" s="26"/>
      <c r="N1467" s="425"/>
      <c r="P1467" s="547"/>
      <c r="R1467" s="547"/>
      <c r="T1467" s="547"/>
    </row>
    <row r="1468" spans="1:20" ht="12.75">
      <c r="A1468" s="199">
        <v>642</v>
      </c>
      <c r="B1468" s="340" t="s">
        <v>481</v>
      </c>
      <c r="C1468" s="49"/>
      <c r="D1468" s="12"/>
      <c r="E1468" s="12"/>
      <c r="F1468" s="12"/>
      <c r="G1468" s="305">
        <f>SUM(G1469)</f>
        <v>1000</v>
      </c>
      <c r="H1468" s="50">
        <f>H1469</f>
        <v>100</v>
      </c>
      <c r="I1468" s="50">
        <f>I1469</f>
        <v>1400</v>
      </c>
      <c r="J1468" s="50">
        <f>J1469</f>
        <v>0</v>
      </c>
      <c r="K1468" s="50">
        <f>K1469</f>
        <v>500</v>
      </c>
      <c r="L1468" s="50">
        <f>L1469</f>
        <v>1587</v>
      </c>
      <c r="N1468" s="425"/>
      <c r="P1468" s="547"/>
      <c r="Q1468" s="399">
        <v>498</v>
      </c>
      <c r="R1468" s="433">
        <f>SUM(Q1468/L1468)*100</f>
        <v>31.379962192816635</v>
      </c>
      <c r="S1468" s="399">
        <v>498</v>
      </c>
      <c r="T1468" s="433">
        <f>SUM(S1468/L1468)*100</f>
        <v>31.379962192816635</v>
      </c>
    </row>
    <row r="1469" spans="1:20" ht="12.75">
      <c r="A1469" s="93">
        <v>642002</v>
      </c>
      <c r="B1469" s="293" t="s">
        <v>631</v>
      </c>
      <c r="C1469" s="55"/>
      <c r="D1469" s="12"/>
      <c r="E1469" s="12"/>
      <c r="F1469" s="12"/>
      <c r="G1469" s="155">
        <v>1000</v>
      </c>
      <c r="H1469" s="26">
        <v>100</v>
      </c>
      <c r="I1469" s="26">
        <f>700+700</f>
        <v>1400</v>
      </c>
      <c r="J1469" s="26">
        <v>0</v>
      </c>
      <c r="K1469" s="26">
        <v>500</v>
      </c>
      <c r="L1469" s="26">
        <v>1587</v>
      </c>
      <c r="N1469" s="425"/>
      <c r="P1469" s="547"/>
      <c r="Q1469" s="31">
        <v>498</v>
      </c>
      <c r="R1469" s="430">
        <f>SUM(Q1469/L1469)*100</f>
        <v>31.379962192816635</v>
      </c>
      <c r="S1469" s="31">
        <v>498</v>
      </c>
      <c r="T1469" s="430">
        <f>SUM(S1469/L1469)*100</f>
        <v>31.379962192816635</v>
      </c>
    </row>
    <row r="1470" spans="1:20" ht="12.75">
      <c r="A1470" s="90"/>
      <c r="B1470" s="333" t="s">
        <v>632</v>
      </c>
      <c r="C1470" s="70"/>
      <c r="D1470" s="12"/>
      <c r="E1470" s="12"/>
      <c r="F1470" s="12"/>
      <c r="G1470" s="155"/>
      <c r="H1470" s="26"/>
      <c r="I1470" s="26"/>
      <c r="J1470" s="26"/>
      <c r="K1470" s="26"/>
      <c r="L1470" s="26">
        <v>1587</v>
      </c>
      <c r="N1470" s="425"/>
      <c r="P1470" s="547"/>
      <c r="Q1470" s="31">
        <v>498</v>
      </c>
      <c r="R1470" s="430">
        <f>SUM(Q1470/L1470)*100</f>
        <v>31.379962192816635</v>
      </c>
      <c r="S1470" s="31">
        <v>498</v>
      </c>
      <c r="T1470" s="430">
        <f>SUM(S1470/L1470)*100</f>
        <v>31.379962192816635</v>
      </c>
    </row>
    <row r="1471" spans="1:20" ht="12.75">
      <c r="A1471" s="90"/>
      <c r="B1471" s="333"/>
      <c r="C1471" s="70"/>
      <c r="D1471" s="12"/>
      <c r="E1471" s="12"/>
      <c r="F1471" s="12"/>
      <c r="G1471" s="155"/>
      <c r="H1471" s="26"/>
      <c r="I1471" s="26"/>
      <c r="J1471" s="26"/>
      <c r="K1471" s="26"/>
      <c r="L1471" s="26"/>
      <c r="N1471" s="425"/>
      <c r="P1471" s="547"/>
      <c r="R1471" s="547"/>
      <c r="T1471" s="547"/>
    </row>
    <row r="1472" spans="1:20" ht="12.75">
      <c r="A1472" s="199">
        <v>641</v>
      </c>
      <c r="B1472" s="291" t="s">
        <v>580</v>
      </c>
      <c r="C1472" s="337"/>
      <c r="D1472" s="237"/>
      <c r="E1472" s="237"/>
      <c r="F1472" s="237"/>
      <c r="G1472" s="193">
        <f aca="true" t="shared" si="240" ref="G1472:L1472">SUM(G1473)</f>
        <v>30</v>
      </c>
      <c r="H1472" s="50">
        <f t="shared" si="240"/>
        <v>30</v>
      </c>
      <c r="I1472" s="50">
        <f t="shared" si="240"/>
        <v>30</v>
      </c>
      <c r="J1472" s="50">
        <f t="shared" si="240"/>
        <v>0</v>
      </c>
      <c r="K1472" s="50">
        <f t="shared" si="240"/>
        <v>30</v>
      </c>
      <c r="L1472" s="50">
        <f t="shared" si="240"/>
        <v>50</v>
      </c>
      <c r="N1472" s="425"/>
      <c r="P1472" s="547"/>
      <c r="R1472" s="547"/>
      <c r="T1472" s="547"/>
    </row>
    <row r="1473" spans="1:20" ht="13.5" thickBot="1">
      <c r="A1473" s="343">
        <v>641008</v>
      </c>
      <c r="B1473" s="344" t="s">
        <v>633</v>
      </c>
      <c r="C1473" s="213"/>
      <c r="D1473" s="19"/>
      <c r="E1473" s="19"/>
      <c r="F1473" s="19"/>
      <c r="G1473" s="170">
        <v>30</v>
      </c>
      <c r="H1473" s="27">
        <v>30</v>
      </c>
      <c r="I1473" s="27">
        <v>30</v>
      </c>
      <c r="J1473" s="27">
        <v>0</v>
      </c>
      <c r="K1473" s="27">
        <v>30</v>
      </c>
      <c r="L1473" s="27">
        <v>50</v>
      </c>
      <c r="M1473" s="411"/>
      <c r="N1473" s="429"/>
      <c r="O1473" s="411"/>
      <c r="P1473" s="548"/>
      <c r="Q1473" s="411"/>
      <c r="R1473" s="548"/>
      <c r="S1473" s="411"/>
      <c r="T1473" s="548"/>
    </row>
    <row r="1474" spans="1:12" ht="12.75">
      <c r="A1474" s="55"/>
      <c r="B1474" s="55"/>
      <c r="C1474" s="55"/>
      <c r="D1474" s="12"/>
      <c r="E1474" s="12"/>
      <c r="F1474" s="12"/>
      <c r="G1474" s="164"/>
      <c r="H1474" s="52"/>
      <c r="I1474" s="52"/>
      <c r="J1474" s="52"/>
      <c r="K1474" s="52"/>
      <c r="L1474" s="52"/>
    </row>
    <row r="1475" spans="1:22" s="131" customFormat="1" ht="12.75">
      <c r="A1475" s="24" t="s">
        <v>702</v>
      </c>
      <c r="B1475" s="24"/>
      <c r="C1475" s="24"/>
      <c r="D1475" s="24"/>
      <c r="E1475" s="24"/>
      <c r="F1475" s="24"/>
      <c r="G1475" s="159"/>
      <c r="H1475" s="91"/>
      <c r="I1475" s="91"/>
      <c r="J1475" s="91"/>
      <c r="K1475" s="91"/>
      <c r="L1475" s="91"/>
      <c r="M1475" s="389"/>
      <c r="N1475" s="681"/>
      <c r="O1475" s="389"/>
      <c r="Q1475" s="389"/>
      <c r="S1475" s="389"/>
      <c r="U1475" s="389"/>
      <c r="V1475" s="389"/>
    </row>
    <row r="1476" spans="1:22" s="131" customFormat="1" ht="12.75">
      <c r="A1476" s="24" t="s">
        <v>323</v>
      </c>
      <c r="B1476" s="24"/>
      <c r="C1476" s="24"/>
      <c r="D1476" s="24"/>
      <c r="E1476" s="24"/>
      <c r="F1476" s="24"/>
      <c r="G1476" s="159"/>
      <c r="H1476" s="91"/>
      <c r="I1476" s="91"/>
      <c r="J1476" s="91"/>
      <c r="K1476" s="91"/>
      <c r="L1476" s="91"/>
      <c r="M1476" s="389"/>
      <c r="N1476" s="681"/>
      <c r="O1476" s="389"/>
      <c r="Q1476" s="389"/>
      <c r="S1476" s="389"/>
      <c r="U1476" s="389"/>
      <c r="V1476" s="389"/>
    </row>
    <row r="1477" spans="1:12" ht="12.75">
      <c r="A1477" s="55"/>
      <c r="B1477" s="55"/>
      <c r="C1477" s="55"/>
      <c r="D1477" s="12"/>
      <c r="E1477" s="12"/>
      <c r="F1477" s="12"/>
      <c r="G1477" s="164"/>
      <c r="H1477" s="52"/>
      <c r="I1477" s="52"/>
      <c r="J1477" s="52"/>
      <c r="K1477" s="52"/>
      <c r="L1477" s="52"/>
    </row>
    <row r="1478" spans="1:12" ht="13.5" thickBot="1">
      <c r="A1478" s="55"/>
      <c r="B1478" s="55"/>
      <c r="C1478" s="55"/>
      <c r="D1478" s="12"/>
      <c r="E1478" s="12"/>
      <c r="F1478" s="12"/>
      <c r="G1478" s="164"/>
      <c r="H1478" s="52"/>
      <c r="I1478" s="52"/>
      <c r="J1478" s="52"/>
      <c r="K1478" s="52"/>
      <c r="L1478" s="52"/>
    </row>
    <row r="1479" spans="1:20" ht="13.5" thickBot="1">
      <c r="A1479" s="177" t="s">
        <v>44</v>
      </c>
      <c r="B1479" s="178"/>
      <c r="C1479" s="178"/>
      <c r="D1479" s="179"/>
      <c r="E1479" s="179"/>
      <c r="F1479" s="179"/>
      <c r="G1479" s="15" t="s">
        <v>23</v>
      </c>
      <c r="H1479" s="136"/>
      <c r="I1479" s="137" t="s">
        <v>395</v>
      </c>
      <c r="J1479" s="216"/>
      <c r="K1479" s="10" t="s">
        <v>25</v>
      </c>
      <c r="L1479" s="238" t="s">
        <v>645</v>
      </c>
      <c r="M1479" s="403" t="s">
        <v>296</v>
      </c>
      <c r="N1479" s="426" t="s">
        <v>684</v>
      </c>
      <c r="O1479" s="403" t="s">
        <v>296</v>
      </c>
      <c r="P1479" s="426" t="s">
        <v>683</v>
      </c>
      <c r="Q1479" s="403" t="s">
        <v>296</v>
      </c>
      <c r="R1479" s="426" t="s">
        <v>681</v>
      </c>
      <c r="S1479" s="403" t="s">
        <v>296</v>
      </c>
      <c r="T1479" s="421" t="s">
        <v>681</v>
      </c>
    </row>
    <row r="1480" spans="1:20" ht="16.5" thickTop="1">
      <c r="A1480" s="239" t="s">
        <v>204</v>
      </c>
      <c r="B1480" s="181" t="s">
        <v>205</v>
      </c>
      <c r="C1480" s="182"/>
      <c r="D1480" s="12"/>
      <c r="E1480" s="12"/>
      <c r="F1480" s="12"/>
      <c r="G1480" s="11" t="s">
        <v>45</v>
      </c>
      <c r="H1480" s="32" t="s">
        <v>27</v>
      </c>
      <c r="I1480" s="6" t="s">
        <v>92</v>
      </c>
      <c r="J1480" s="108" t="s">
        <v>29</v>
      </c>
      <c r="K1480" s="33" t="s">
        <v>46</v>
      </c>
      <c r="L1480" s="208"/>
      <c r="M1480" s="25" t="s">
        <v>297</v>
      </c>
      <c r="N1480" s="425"/>
      <c r="O1480" s="25" t="s">
        <v>750</v>
      </c>
      <c r="P1480" s="547"/>
      <c r="Q1480" s="25" t="s">
        <v>896</v>
      </c>
      <c r="R1480" s="547"/>
      <c r="S1480" s="25" t="s">
        <v>957</v>
      </c>
      <c r="T1480" s="422"/>
    </row>
    <row r="1481" spans="1:20" ht="13.5" thickBot="1">
      <c r="A1481" s="183"/>
      <c r="B1481" s="184"/>
      <c r="C1481" s="185"/>
      <c r="D1481" s="37"/>
      <c r="E1481" s="37"/>
      <c r="F1481" s="37"/>
      <c r="G1481" s="83"/>
      <c r="H1481" s="84">
        <v>38335</v>
      </c>
      <c r="I1481" s="148">
        <v>38587</v>
      </c>
      <c r="J1481" s="110" t="s">
        <v>31</v>
      </c>
      <c r="K1481" s="33" t="s">
        <v>32</v>
      </c>
      <c r="L1481" s="242"/>
      <c r="M1481" s="404"/>
      <c r="N1481" s="429"/>
      <c r="O1481" s="404"/>
      <c r="P1481" s="548"/>
      <c r="Q1481" s="404"/>
      <c r="R1481" s="548"/>
      <c r="S1481" s="404"/>
      <c r="T1481" s="423"/>
    </row>
    <row r="1482" spans="1:20" ht="13.5" thickBot="1">
      <c r="A1482" s="186" t="s">
        <v>47</v>
      </c>
      <c r="B1482" s="187"/>
      <c r="C1482" s="39"/>
      <c r="D1482" s="188" t="s">
        <v>48</v>
      </c>
      <c r="E1482" s="19"/>
      <c r="F1482" s="19"/>
      <c r="G1482" s="152">
        <v>1</v>
      </c>
      <c r="H1482" s="41">
        <v>2</v>
      </c>
      <c r="I1482" s="188">
        <v>3</v>
      </c>
      <c r="J1482" s="22">
        <v>4</v>
      </c>
      <c r="K1482" s="40">
        <v>1</v>
      </c>
      <c r="L1482" s="599">
        <v>1</v>
      </c>
      <c r="M1482" s="409"/>
      <c r="N1482" s="424"/>
      <c r="P1482" s="547"/>
      <c r="R1482" s="556"/>
      <c r="T1482" s="556"/>
    </row>
    <row r="1483" spans="1:22" s="131" customFormat="1" ht="15">
      <c r="A1483" s="189"/>
      <c r="B1483" s="247" t="s">
        <v>228</v>
      </c>
      <c r="C1483" s="190"/>
      <c r="D1483" s="402"/>
      <c r="E1483" s="402"/>
      <c r="F1483" s="454"/>
      <c r="G1483" s="189">
        <f>SUM(G1488)</f>
        <v>189</v>
      </c>
      <c r="H1483" s="189">
        <f>H1488+H1485</f>
        <v>20</v>
      </c>
      <c r="I1483" s="189">
        <f>I1488+I1485</f>
        <v>140</v>
      </c>
      <c r="J1483" s="189">
        <f>J1488+J1485</f>
        <v>66</v>
      </c>
      <c r="K1483" s="189">
        <f>K1488+K1485</f>
        <v>0</v>
      </c>
      <c r="L1483" s="260">
        <f>L1488+L1485</f>
        <v>50</v>
      </c>
      <c r="M1483" s="505"/>
      <c r="N1483" s="506"/>
      <c r="O1483" s="522"/>
      <c r="P1483" s="560"/>
      <c r="Q1483" s="522"/>
      <c r="R1483" s="560"/>
      <c r="S1483" s="700">
        <f>S1488+S1485</f>
        <v>5</v>
      </c>
      <c r="T1483" s="567">
        <f>SUM(S1483/L1483)*100</f>
        <v>10</v>
      </c>
      <c r="U1483" s="389"/>
      <c r="V1483" s="389"/>
    </row>
    <row r="1484" spans="1:20" ht="12.75">
      <c r="A1484" s="261"/>
      <c r="B1484" s="262"/>
      <c r="C1484" s="158"/>
      <c r="D1484" s="158"/>
      <c r="E1484" s="158"/>
      <c r="F1484" s="345"/>
      <c r="G1484" s="290"/>
      <c r="H1484" s="290"/>
      <c r="I1484" s="290"/>
      <c r="J1484" s="290"/>
      <c r="K1484" s="290"/>
      <c r="L1484" s="308"/>
      <c r="M1484" s="400"/>
      <c r="N1484" s="435"/>
      <c r="O1484" s="400"/>
      <c r="P1484" s="561"/>
      <c r="R1484" s="547"/>
      <c r="T1484" s="547"/>
    </row>
    <row r="1485" spans="1:20" ht="12.75">
      <c r="A1485" s="302">
        <v>633</v>
      </c>
      <c r="B1485" s="244" t="s">
        <v>245</v>
      </c>
      <c r="C1485" s="269"/>
      <c r="D1485" s="269"/>
      <c r="E1485" s="269"/>
      <c r="F1485" s="346"/>
      <c r="G1485" s="302">
        <f aca="true" t="shared" si="241" ref="G1485:L1485">SUM(G1486)</f>
        <v>0</v>
      </c>
      <c r="H1485" s="302">
        <f t="shared" si="241"/>
        <v>0</v>
      </c>
      <c r="I1485" s="302">
        <f t="shared" si="241"/>
        <v>81</v>
      </c>
      <c r="J1485" s="302">
        <f t="shared" si="241"/>
        <v>65</v>
      </c>
      <c r="K1485" s="302">
        <f t="shared" si="241"/>
        <v>0</v>
      </c>
      <c r="L1485" s="298">
        <f t="shared" si="241"/>
        <v>0</v>
      </c>
      <c r="M1485" s="400"/>
      <c r="N1485" s="435"/>
      <c r="O1485" s="400"/>
      <c r="P1485" s="561"/>
      <c r="R1485" s="547"/>
      <c r="T1485" s="547"/>
    </row>
    <row r="1486" spans="1:20" ht="12.75">
      <c r="A1486" s="261">
        <v>633006</v>
      </c>
      <c r="B1486" s="262" t="s">
        <v>634</v>
      </c>
      <c r="C1486" s="158"/>
      <c r="D1486" s="158"/>
      <c r="E1486" s="158"/>
      <c r="F1486" s="345"/>
      <c r="G1486" s="290">
        <v>0</v>
      </c>
      <c r="H1486" s="290"/>
      <c r="I1486" s="290">
        <v>81</v>
      </c>
      <c r="J1486" s="290">
        <v>65</v>
      </c>
      <c r="K1486" s="290"/>
      <c r="L1486" s="308"/>
      <c r="M1486" s="400"/>
      <c r="N1486" s="435"/>
      <c r="O1486" s="400"/>
      <c r="P1486" s="561"/>
      <c r="R1486" s="547"/>
      <c r="T1486" s="547"/>
    </row>
    <row r="1487" spans="1:20" ht="12.75">
      <c r="A1487" s="14"/>
      <c r="B1487" s="11"/>
      <c r="C1487" s="12"/>
      <c r="D1487" s="12"/>
      <c r="E1487" s="12"/>
      <c r="F1487" s="13"/>
      <c r="G1487" s="284"/>
      <c r="H1487" s="14"/>
      <c r="I1487" s="14"/>
      <c r="J1487" s="14"/>
      <c r="K1487" s="14"/>
      <c r="L1487" s="26"/>
      <c r="N1487" s="425"/>
      <c r="P1487" s="547"/>
      <c r="Q1487" s="400"/>
      <c r="R1487" s="561"/>
      <c r="T1487" s="547"/>
    </row>
    <row r="1488" spans="1:20" ht="12.75">
      <c r="A1488" s="66">
        <v>642</v>
      </c>
      <c r="B1488" s="300" t="s">
        <v>481</v>
      </c>
      <c r="C1488" s="49"/>
      <c r="D1488" s="12"/>
      <c r="E1488" s="12"/>
      <c r="F1488" s="13"/>
      <c r="G1488" s="302">
        <f aca="true" t="shared" si="242" ref="G1488:L1488">SUM(G1490:G1492)</f>
        <v>189</v>
      </c>
      <c r="H1488" s="302">
        <f t="shared" si="242"/>
        <v>20</v>
      </c>
      <c r="I1488" s="302">
        <f t="shared" si="242"/>
        <v>59</v>
      </c>
      <c r="J1488" s="302">
        <f t="shared" si="242"/>
        <v>1</v>
      </c>
      <c r="K1488" s="302">
        <f t="shared" si="242"/>
        <v>0</v>
      </c>
      <c r="L1488" s="298">
        <f t="shared" si="242"/>
        <v>50</v>
      </c>
      <c r="N1488" s="425"/>
      <c r="P1488" s="547"/>
      <c r="Q1488" s="400"/>
      <c r="R1488" s="561"/>
      <c r="S1488" s="299">
        <f>SUM(S1490:S1492)</f>
        <v>5</v>
      </c>
      <c r="T1488" s="433">
        <f>SUM(S1488/L1488)*100</f>
        <v>10</v>
      </c>
    </row>
    <row r="1489" spans="1:20" ht="12.75">
      <c r="A1489" s="53">
        <v>642002</v>
      </c>
      <c r="B1489" s="328" t="s">
        <v>635</v>
      </c>
      <c r="C1489" s="55"/>
      <c r="D1489" s="12"/>
      <c r="E1489" s="12"/>
      <c r="F1489" s="13"/>
      <c r="G1489" s="284"/>
      <c r="H1489" s="14"/>
      <c r="I1489" s="14"/>
      <c r="J1489" s="14"/>
      <c r="K1489" s="14"/>
      <c r="L1489" s="26"/>
      <c r="N1489" s="425"/>
      <c r="P1489" s="547"/>
      <c r="Q1489" s="400"/>
      <c r="R1489" s="561"/>
      <c r="T1489" s="547"/>
    </row>
    <row r="1490" spans="1:20" ht="12.75">
      <c r="A1490" s="67"/>
      <c r="B1490" s="72" t="s">
        <v>636</v>
      </c>
      <c r="C1490" s="70"/>
      <c r="D1490" s="12"/>
      <c r="E1490" s="12"/>
      <c r="F1490" s="13"/>
      <c r="G1490" s="284">
        <v>168</v>
      </c>
      <c r="H1490" s="14">
        <v>20</v>
      </c>
      <c r="I1490" s="14">
        <v>59</v>
      </c>
      <c r="J1490" s="14">
        <v>1</v>
      </c>
      <c r="K1490" s="14">
        <v>0</v>
      </c>
      <c r="L1490" s="26">
        <v>50</v>
      </c>
      <c r="N1490" s="425"/>
      <c r="P1490" s="547"/>
      <c r="R1490" s="547"/>
      <c r="S1490" s="31">
        <v>5</v>
      </c>
      <c r="T1490" s="430">
        <f>SUM(S1490/L1490)*100</f>
        <v>10</v>
      </c>
    </row>
    <row r="1491" spans="1:20" ht="12.75">
      <c r="A1491" s="14"/>
      <c r="B1491" s="72" t="s">
        <v>637</v>
      </c>
      <c r="C1491" s="12"/>
      <c r="D1491" s="12"/>
      <c r="E1491" s="12"/>
      <c r="F1491" s="13"/>
      <c r="G1491" s="14">
        <v>12</v>
      </c>
      <c r="H1491" s="14"/>
      <c r="I1491" s="14"/>
      <c r="J1491" s="14"/>
      <c r="K1491" s="14"/>
      <c r="L1491" s="26"/>
      <c r="N1491" s="425"/>
      <c r="P1491" s="547"/>
      <c r="R1491" s="547"/>
      <c r="T1491" s="547"/>
    </row>
    <row r="1492" spans="1:20" ht="13.5" thickBot="1">
      <c r="A1492" s="21"/>
      <c r="B1492" s="74" t="s">
        <v>638</v>
      </c>
      <c r="C1492" s="19"/>
      <c r="D1492" s="19"/>
      <c r="E1492" s="19"/>
      <c r="F1492" s="20"/>
      <c r="G1492" s="21">
        <v>9</v>
      </c>
      <c r="H1492" s="21"/>
      <c r="I1492" s="21"/>
      <c r="J1492" s="21"/>
      <c r="K1492" s="21"/>
      <c r="L1492" s="27"/>
      <c r="M1492" s="411"/>
      <c r="N1492" s="429"/>
      <c r="O1492" s="411"/>
      <c r="P1492" s="548"/>
      <c r="R1492" s="548"/>
      <c r="S1492" s="411"/>
      <c r="T1492" s="548"/>
    </row>
    <row r="1493" spans="1:17" ht="12.75">
      <c r="A1493" s="12"/>
      <c r="B1493" s="69"/>
      <c r="C1493" s="12"/>
      <c r="D1493" s="12"/>
      <c r="E1493" s="12"/>
      <c r="F1493" s="12"/>
      <c r="G1493" s="12"/>
      <c r="H1493" s="12"/>
      <c r="I1493" s="12"/>
      <c r="J1493" s="12"/>
      <c r="K1493" s="12"/>
      <c r="L1493" s="52"/>
      <c r="Q1493" s="419"/>
    </row>
    <row r="1494" spans="1:12" ht="12.75">
      <c r="A1494" s="12" t="s">
        <v>324</v>
      </c>
      <c r="B1494" s="69"/>
      <c r="C1494" s="12"/>
      <c r="D1494" s="12"/>
      <c r="E1494" s="12"/>
      <c r="F1494" s="12"/>
      <c r="G1494" s="12"/>
      <c r="H1494" s="12"/>
      <c r="I1494" s="12"/>
      <c r="J1494" s="12"/>
      <c r="K1494" s="12"/>
      <c r="L1494" s="52"/>
    </row>
    <row r="1495" spans="1:12" ht="12.75">
      <c r="A1495" s="12"/>
      <c r="B1495" s="69"/>
      <c r="C1495" s="12"/>
      <c r="D1495" s="12"/>
      <c r="E1495" s="12"/>
      <c r="F1495" s="12"/>
      <c r="G1495" s="12"/>
      <c r="H1495" s="12"/>
      <c r="I1495" s="12"/>
      <c r="J1495" s="12"/>
      <c r="K1495" s="12"/>
      <c r="L1495" s="52"/>
    </row>
    <row r="1496" spans="1:12" ht="12.75">
      <c r="A1496" s="12"/>
      <c r="B1496" s="69"/>
      <c r="C1496" s="12"/>
      <c r="D1496" s="12"/>
      <c r="E1496" s="12"/>
      <c r="F1496" s="12"/>
      <c r="G1496" s="12"/>
      <c r="H1496" s="12"/>
      <c r="I1496" s="12"/>
      <c r="J1496" s="12"/>
      <c r="K1496" s="12"/>
      <c r="L1496" s="52"/>
    </row>
    <row r="1497" spans="1:12" ht="12.75">
      <c r="A1497" s="12"/>
      <c r="B1497" s="69"/>
      <c r="C1497" s="12"/>
      <c r="D1497" s="12"/>
      <c r="E1497" s="12"/>
      <c r="F1497" s="12"/>
      <c r="G1497" s="12"/>
      <c r="H1497" s="12"/>
      <c r="I1497" s="12"/>
      <c r="J1497" s="12"/>
      <c r="K1497" s="12"/>
      <c r="L1497" s="52"/>
    </row>
    <row r="1498" ht="13.5" thickBot="1"/>
    <row r="1499" spans="1:20" ht="13.5" thickBot="1">
      <c r="A1499" s="177" t="s">
        <v>44</v>
      </c>
      <c r="B1499" s="178"/>
      <c r="C1499" s="178"/>
      <c r="D1499" s="179"/>
      <c r="E1499" s="179"/>
      <c r="F1499" s="179" t="s">
        <v>154</v>
      </c>
      <c r="G1499" s="15" t="s">
        <v>23</v>
      </c>
      <c r="H1499" s="136"/>
      <c r="I1499" s="137" t="s">
        <v>395</v>
      </c>
      <c r="J1499" s="216"/>
      <c r="K1499" s="10" t="s">
        <v>25</v>
      </c>
      <c r="L1499" s="238" t="s">
        <v>645</v>
      </c>
      <c r="M1499" s="403" t="s">
        <v>296</v>
      </c>
      <c r="N1499" s="426" t="s">
        <v>684</v>
      </c>
      <c r="O1499" s="403" t="s">
        <v>296</v>
      </c>
      <c r="P1499" s="426" t="s">
        <v>683</v>
      </c>
      <c r="Q1499" s="403" t="s">
        <v>296</v>
      </c>
      <c r="R1499" s="426" t="s">
        <v>681</v>
      </c>
      <c r="S1499" s="403" t="s">
        <v>296</v>
      </c>
      <c r="T1499" s="421" t="s">
        <v>681</v>
      </c>
    </row>
    <row r="1500" spans="1:20" ht="16.5" thickTop="1">
      <c r="A1500" s="239" t="s">
        <v>200</v>
      </c>
      <c r="B1500" s="181" t="s">
        <v>639</v>
      </c>
      <c r="C1500" s="182"/>
      <c r="D1500" s="12"/>
      <c r="E1500" s="12"/>
      <c r="F1500" s="12"/>
      <c r="G1500" s="11" t="s">
        <v>45</v>
      </c>
      <c r="H1500" s="32" t="s">
        <v>27</v>
      </c>
      <c r="I1500" s="6" t="s">
        <v>92</v>
      </c>
      <c r="J1500" s="108" t="s">
        <v>29</v>
      </c>
      <c r="K1500" s="33" t="s">
        <v>46</v>
      </c>
      <c r="L1500" s="208"/>
      <c r="M1500" s="25" t="s">
        <v>297</v>
      </c>
      <c r="N1500" s="425"/>
      <c r="O1500" s="25" t="s">
        <v>750</v>
      </c>
      <c r="P1500" s="547"/>
      <c r="Q1500" s="25" t="s">
        <v>896</v>
      </c>
      <c r="R1500" s="547"/>
      <c r="S1500" s="25" t="s">
        <v>957</v>
      </c>
      <c r="T1500" s="422"/>
    </row>
    <row r="1501" spans="1:20" ht="13.5" thickBot="1">
      <c r="A1501" s="183"/>
      <c r="B1501" s="184"/>
      <c r="C1501" s="185"/>
      <c r="D1501" s="37"/>
      <c r="E1501" s="37"/>
      <c r="F1501" s="37"/>
      <c r="G1501" s="83"/>
      <c r="H1501" s="84">
        <v>38335</v>
      </c>
      <c r="I1501" s="148">
        <v>38587</v>
      </c>
      <c r="J1501" s="110" t="s">
        <v>31</v>
      </c>
      <c r="K1501" s="33" t="s">
        <v>32</v>
      </c>
      <c r="L1501" s="242"/>
      <c r="M1501" s="404"/>
      <c r="N1501" s="429"/>
      <c r="O1501" s="404"/>
      <c r="P1501" s="548"/>
      <c r="Q1501" s="404"/>
      <c r="R1501" s="548"/>
      <c r="S1501" s="404"/>
      <c r="T1501" s="423"/>
    </row>
    <row r="1502" spans="1:20" ht="13.5" thickBot="1">
      <c r="A1502" s="186" t="s">
        <v>47</v>
      </c>
      <c r="B1502" s="187"/>
      <c r="C1502" s="39"/>
      <c r="D1502" s="347" t="s">
        <v>48</v>
      </c>
      <c r="E1502" s="19"/>
      <c r="F1502" s="19"/>
      <c r="G1502" s="152">
        <v>1</v>
      </c>
      <c r="H1502" s="41">
        <v>2</v>
      </c>
      <c r="I1502" s="188">
        <v>3</v>
      </c>
      <c r="J1502" s="22">
        <v>4</v>
      </c>
      <c r="K1502" s="40">
        <v>1</v>
      </c>
      <c r="L1502" s="599">
        <v>1</v>
      </c>
      <c r="M1502" s="409"/>
      <c r="N1502" s="424"/>
      <c r="P1502" s="547"/>
      <c r="R1502" s="556"/>
      <c r="T1502" s="556"/>
    </row>
    <row r="1503" spans="1:22" s="28" customFormat="1" ht="15">
      <c r="A1503" s="461"/>
      <c r="B1503" s="462" t="s">
        <v>228</v>
      </c>
      <c r="C1503" s="463"/>
      <c r="D1503" s="372"/>
      <c r="E1503" s="372"/>
      <c r="F1503" s="372"/>
      <c r="G1503" s="464" t="e">
        <f>G1505+G1511+G1517+G1531+G1536+#REF!</f>
        <v>#REF!</v>
      </c>
      <c r="H1503" s="464" t="e">
        <f>H1505+H1511+H1517+H1531+H1536+#REF!</f>
        <v>#REF!</v>
      </c>
      <c r="I1503" s="465" t="e">
        <f>I1505+I1511+I1517+I1531+I1536+#REF!</f>
        <v>#REF!</v>
      </c>
      <c r="J1503" s="464" t="e">
        <f>J1505+J1511+J1517+J1531+J1536+#REF!</f>
        <v>#REF!</v>
      </c>
      <c r="K1503" s="464" t="e">
        <f>K1505+K1511+K1517+K1531+K1536+#REF!</f>
        <v>#REF!</v>
      </c>
      <c r="L1503" s="464">
        <v>243089</v>
      </c>
      <c r="M1503" s="466">
        <v>8929</v>
      </c>
      <c r="N1503" s="440">
        <f>SUM(M1503/L1503)*100</f>
        <v>3.6731402901817853</v>
      </c>
      <c r="O1503" s="555">
        <f>SUM(O1504+O1546)</f>
        <v>13098</v>
      </c>
      <c r="P1503" s="567">
        <f>SUM(O1503/L1503)*100</f>
        <v>5.388150019128797</v>
      </c>
      <c r="Q1503" s="555">
        <f>SUM(Q1504+Q1546)</f>
        <v>20047</v>
      </c>
      <c r="R1503" s="567">
        <f>SUM(Q1503/L1503)*100</f>
        <v>8.24677381535158</v>
      </c>
      <c r="S1503" s="555">
        <f>SUM(S1504+S1546)</f>
        <v>98362</v>
      </c>
      <c r="T1503" s="567">
        <f aca="true" t="shared" si="243" ref="T1503:T1509">SUM(S1503/L1503)*100</f>
        <v>40.46336938323001</v>
      </c>
      <c r="U1503" s="783"/>
      <c r="V1503" s="783"/>
    </row>
    <row r="1504" spans="1:22" s="275" customFormat="1" ht="15">
      <c r="A1504" s="507"/>
      <c r="B1504" s="508" t="s">
        <v>37</v>
      </c>
      <c r="C1504" s="509"/>
      <c r="D1504" s="63"/>
      <c r="E1504" s="63"/>
      <c r="F1504" s="63"/>
      <c r="G1504" s="492"/>
      <c r="H1504" s="61"/>
      <c r="I1504" s="63"/>
      <c r="J1504" s="61"/>
      <c r="K1504" s="61"/>
      <c r="L1504" s="653">
        <f>SUM(L1505+L1511+L1517+L1531+L1536)</f>
        <v>235623</v>
      </c>
      <c r="M1504" s="512">
        <f>SUM(M1505+M1511+M1517+M1531+M1536)</f>
        <v>8929</v>
      </c>
      <c r="N1504" s="487">
        <f>SUM(M1504/L1504)*100</f>
        <v>3.789528186976653</v>
      </c>
      <c r="O1504" s="512">
        <f>SUM(O1505+O1511+O1517+O1531+O1536)</f>
        <v>13098</v>
      </c>
      <c r="P1504" s="487">
        <f>SUM(O1504/L1504)*100</f>
        <v>5.558880075374645</v>
      </c>
      <c r="Q1504" s="653">
        <f>SUM(Q1505+Q1511+Q1517+Q1531+Q1536)</f>
        <v>20047</v>
      </c>
      <c r="R1504" s="487">
        <f>SUM(Q1504/L1504)*100</f>
        <v>8.508082827228241</v>
      </c>
      <c r="S1504" s="653">
        <f>SUM(S1505+S1511+S1517+S1531+S1536)</f>
        <v>94736</v>
      </c>
      <c r="T1504" s="487">
        <f t="shared" si="243"/>
        <v>40.20660122314035</v>
      </c>
      <c r="U1504" s="370"/>
      <c r="V1504" s="370"/>
    </row>
    <row r="1505" spans="1:22" s="131" customFormat="1" ht="12.75">
      <c r="A1505" s="603" t="s">
        <v>640</v>
      </c>
      <c r="B1505" s="604" t="s">
        <v>641</v>
      </c>
      <c r="C1505" s="353"/>
      <c r="D1505" s="237"/>
      <c r="E1505" s="237"/>
      <c r="F1505" s="237"/>
      <c r="G1505" s="288">
        <f>38318+549</f>
        <v>38867</v>
      </c>
      <c r="H1505" s="193">
        <f>SUM(H1507:H1508)</f>
        <v>37089</v>
      </c>
      <c r="I1505" s="194">
        <f>SUM(I1507:I1508)</f>
        <v>40886</v>
      </c>
      <c r="J1505" s="193">
        <f>SUM(J1507:J1508)</f>
        <v>17701</v>
      </c>
      <c r="K1505" s="193">
        <f>SUM(K1507:K1508)</f>
        <v>47400</v>
      </c>
      <c r="L1505" s="50">
        <f>SUM(L1506:L1509)</f>
        <v>44394</v>
      </c>
      <c r="M1505" s="399">
        <v>7830</v>
      </c>
      <c r="N1505" s="433">
        <f>SUM(M1505/L1505)*100</f>
        <v>17.637518583592378</v>
      </c>
      <c r="O1505" s="121">
        <v>11485</v>
      </c>
      <c r="P1505" s="433">
        <f>SUM(O1505/L1505)*100</f>
        <v>25.87061314592062</v>
      </c>
      <c r="Q1505" s="122">
        <v>17393</v>
      </c>
      <c r="R1505" s="433">
        <f>SUM(Q1505/L1505)*100</f>
        <v>39.1787178447538</v>
      </c>
      <c r="S1505" s="197">
        <f>SUM(S1506:S1509)</f>
        <v>18052</v>
      </c>
      <c r="T1505" s="433">
        <f t="shared" si="243"/>
        <v>40.66315267828986</v>
      </c>
      <c r="U1505" s="389"/>
      <c r="V1505" s="389"/>
    </row>
    <row r="1506" spans="1:22" s="131" customFormat="1" ht="12.75">
      <c r="A1506" s="349">
        <v>610</v>
      </c>
      <c r="B1506" s="350" t="s">
        <v>786</v>
      </c>
      <c r="C1506" s="142"/>
      <c r="D1506" s="24"/>
      <c r="E1506" s="24"/>
      <c r="F1506" s="24"/>
      <c r="G1506" s="290"/>
      <c r="H1506" s="56"/>
      <c r="I1506" s="57"/>
      <c r="J1506" s="56"/>
      <c r="K1506" s="56"/>
      <c r="L1506" s="92">
        <v>25105</v>
      </c>
      <c r="M1506" s="389"/>
      <c r="N1506" s="430"/>
      <c r="O1506" s="389"/>
      <c r="P1506" s="430"/>
      <c r="Q1506" s="389"/>
      <c r="R1506" s="549"/>
      <c r="S1506" s="206">
        <v>9875</v>
      </c>
      <c r="T1506" s="430">
        <f t="shared" si="243"/>
        <v>39.33479386576379</v>
      </c>
      <c r="U1506" s="389"/>
      <c r="V1506" s="389"/>
    </row>
    <row r="1507" spans="1:20" ht="12.75">
      <c r="A1507" s="349">
        <v>620</v>
      </c>
      <c r="B1507" s="350" t="s">
        <v>787</v>
      </c>
      <c r="C1507" s="95"/>
      <c r="D1507" s="12"/>
      <c r="E1507" s="12"/>
      <c r="F1507" s="12"/>
      <c r="G1507" s="284"/>
      <c r="H1507" s="56">
        <f>7091+1028-1675+8</f>
        <v>6452</v>
      </c>
      <c r="I1507" s="52">
        <f>7929+1615+5</f>
        <v>9549</v>
      </c>
      <c r="J1507" s="26">
        <v>5064</v>
      </c>
      <c r="K1507" s="26">
        <v>14004</v>
      </c>
      <c r="L1507" s="26">
        <v>8774</v>
      </c>
      <c r="N1507" s="425"/>
      <c r="P1507" s="547"/>
      <c r="R1507" s="547"/>
      <c r="S1507" s="25">
        <v>3446</v>
      </c>
      <c r="T1507" s="430">
        <f t="shared" si="243"/>
        <v>39.2751310690677</v>
      </c>
    </row>
    <row r="1508" spans="1:20" ht="12.75">
      <c r="A1508" s="351">
        <v>630</v>
      </c>
      <c r="B1508" s="350" t="s">
        <v>506</v>
      </c>
      <c r="C1508" s="95"/>
      <c r="D1508" s="12"/>
      <c r="E1508" s="12"/>
      <c r="F1508" s="12"/>
      <c r="G1508" s="284"/>
      <c r="H1508" s="56">
        <v>30637</v>
      </c>
      <c r="I1508" s="52">
        <v>31337</v>
      </c>
      <c r="J1508" s="26">
        <v>12637</v>
      </c>
      <c r="K1508" s="26">
        <f>24747+8649</f>
        <v>33396</v>
      </c>
      <c r="L1508" s="26">
        <v>9830</v>
      </c>
      <c r="N1508" s="425"/>
      <c r="P1508" s="547"/>
      <c r="R1508" s="547"/>
      <c r="S1508" s="31">
        <v>4674</v>
      </c>
      <c r="T1508" s="430">
        <f t="shared" si="243"/>
        <v>47.54832146490336</v>
      </c>
    </row>
    <row r="1509" spans="1:20" ht="12.75">
      <c r="A1509" s="351">
        <v>640</v>
      </c>
      <c r="B1509" s="350" t="s">
        <v>789</v>
      </c>
      <c r="C1509" s="95"/>
      <c r="D1509" s="12"/>
      <c r="E1509" s="12"/>
      <c r="F1509" s="12"/>
      <c r="G1509" s="284"/>
      <c r="H1509" s="56"/>
      <c r="I1509" s="52"/>
      <c r="J1509" s="26"/>
      <c r="K1509" s="26"/>
      <c r="L1509" s="26">
        <v>685</v>
      </c>
      <c r="N1509" s="425"/>
      <c r="P1509" s="547"/>
      <c r="R1509" s="547"/>
      <c r="S1509" s="31">
        <v>57</v>
      </c>
      <c r="T1509" s="430">
        <f t="shared" si="243"/>
        <v>8.321167883211679</v>
      </c>
    </row>
    <row r="1510" spans="1:20" ht="12.75">
      <c r="A1510" s="351"/>
      <c r="B1510" s="350"/>
      <c r="C1510" s="95"/>
      <c r="D1510" s="12"/>
      <c r="E1510" s="12"/>
      <c r="F1510" s="12"/>
      <c r="G1510" s="284"/>
      <c r="H1510" s="56"/>
      <c r="I1510" s="52"/>
      <c r="J1510" s="26"/>
      <c r="K1510" s="26"/>
      <c r="L1510" s="26"/>
      <c r="N1510" s="425"/>
      <c r="P1510" s="547"/>
      <c r="R1510" s="547"/>
      <c r="T1510" s="547"/>
    </row>
    <row r="1511" spans="1:22" s="131" customFormat="1" ht="12.75">
      <c r="A1511" s="603" t="s">
        <v>647</v>
      </c>
      <c r="B1511" s="604" t="s">
        <v>648</v>
      </c>
      <c r="C1511" s="615"/>
      <c r="D1511" s="237"/>
      <c r="E1511" s="237"/>
      <c r="F1511" s="237"/>
      <c r="G1511" s="288">
        <f>131987+5738</f>
        <v>137725</v>
      </c>
      <c r="H1511" s="193">
        <f>SUM(H1512:H1515)</f>
        <v>124085</v>
      </c>
      <c r="I1511" s="194">
        <f>SUM(I1512:I1515)</f>
        <v>132429</v>
      </c>
      <c r="J1511" s="193">
        <f>SUM(J1512:J1515)</f>
        <v>53103</v>
      </c>
      <c r="K1511" s="193">
        <f>SUM(K1512:K1515)</f>
        <v>139718</v>
      </c>
      <c r="L1511" s="50">
        <f>SUM(L1512:L1515)</f>
        <v>136974</v>
      </c>
      <c r="M1511" s="389"/>
      <c r="N1511" s="430"/>
      <c r="O1511" s="389"/>
      <c r="P1511" s="549"/>
      <c r="Q1511" s="389"/>
      <c r="R1511" s="549"/>
      <c r="S1511" s="197">
        <f>SUM(S1512:S1515)</f>
        <v>55615</v>
      </c>
      <c r="T1511" s="433">
        <f>SUM(S1511/L1511)*100</f>
        <v>40.60259611313096</v>
      </c>
      <c r="U1511" s="389"/>
      <c r="V1511" s="389"/>
    </row>
    <row r="1512" spans="1:20" ht="12.75">
      <c r="A1512" s="349">
        <v>610</v>
      </c>
      <c r="B1512" s="350" t="s">
        <v>786</v>
      </c>
      <c r="C1512" s="95"/>
      <c r="D1512" s="12"/>
      <c r="E1512" s="12"/>
      <c r="F1512" s="12"/>
      <c r="G1512" s="284"/>
      <c r="H1512" s="56">
        <v>18509</v>
      </c>
      <c r="I1512" s="52">
        <v>28226</v>
      </c>
      <c r="J1512" s="26">
        <v>10352</v>
      </c>
      <c r="K1512" s="26">
        <v>27387</v>
      </c>
      <c r="L1512" s="26">
        <v>78990</v>
      </c>
      <c r="N1512" s="425"/>
      <c r="P1512" s="547"/>
      <c r="R1512" s="547"/>
      <c r="S1512" s="31">
        <v>32036</v>
      </c>
      <c r="T1512" s="430">
        <f>SUM(S1512/L1512)*100</f>
        <v>40.55703253576402</v>
      </c>
    </row>
    <row r="1513" spans="1:20" ht="12.75">
      <c r="A1513" s="351">
        <v>620</v>
      </c>
      <c r="B1513" s="350" t="s">
        <v>787</v>
      </c>
      <c r="C1513" s="95"/>
      <c r="D1513" s="12"/>
      <c r="E1513" s="12"/>
      <c r="F1513" s="12"/>
      <c r="G1513" s="284"/>
      <c r="H1513" s="56">
        <v>103076</v>
      </c>
      <c r="I1513" s="52">
        <f>99633+2525</f>
        <v>102158</v>
      </c>
      <c r="J1513" s="26">
        <v>42066</v>
      </c>
      <c r="K1513" s="26">
        <f>81974+28716</f>
        <v>110690</v>
      </c>
      <c r="L1513" s="26">
        <v>27673</v>
      </c>
      <c r="N1513" s="425"/>
      <c r="P1513" s="547"/>
      <c r="R1513" s="547"/>
      <c r="S1513" s="31">
        <v>11158</v>
      </c>
      <c r="T1513" s="430">
        <f>SUM(S1513/L1513)*100</f>
        <v>40.32089039858346</v>
      </c>
    </row>
    <row r="1514" spans="1:20" ht="12.75">
      <c r="A1514" s="14">
        <v>630</v>
      </c>
      <c r="B1514" s="12" t="s">
        <v>506</v>
      </c>
      <c r="C1514" s="12"/>
      <c r="D1514" s="12"/>
      <c r="E1514" s="12"/>
      <c r="F1514" s="12"/>
      <c r="G1514" s="284"/>
      <c r="H1514" s="53">
        <v>0</v>
      </c>
      <c r="I1514" s="12">
        <v>430</v>
      </c>
      <c r="J1514" s="14">
        <v>0</v>
      </c>
      <c r="K1514" s="14">
        <v>0</v>
      </c>
      <c r="L1514" s="26">
        <v>28148</v>
      </c>
      <c r="N1514" s="425"/>
      <c r="P1514" s="547"/>
      <c r="R1514" s="547"/>
      <c r="S1514" s="31">
        <v>11593</v>
      </c>
      <c r="T1514" s="430">
        <f>SUM(S1514/L1514)*100</f>
        <v>41.18587466249822</v>
      </c>
    </row>
    <row r="1515" spans="1:20" ht="12.75">
      <c r="A1515" s="14">
        <v>642</v>
      </c>
      <c r="B1515" s="12" t="s">
        <v>789</v>
      </c>
      <c r="C1515" s="12"/>
      <c r="D1515" s="12"/>
      <c r="E1515" s="12"/>
      <c r="F1515" s="12"/>
      <c r="G1515" s="284"/>
      <c r="H1515" s="56">
        <v>2500</v>
      </c>
      <c r="I1515" s="52">
        <f>1315+300</f>
        <v>1615</v>
      </c>
      <c r="J1515" s="26">
        <v>685</v>
      </c>
      <c r="K1515" s="26">
        <v>1641</v>
      </c>
      <c r="L1515" s="26">
        <v>2163</v>
      </c>
      <c r="N1515" s="425"/>
      <c r="P1515" s="547"/>
      <c r="R1515" s="547"/>
      <c r="S1515" s="31">
        <v>828</v>
      </c>
      <c r="T1515" s="430">
        <f>SUM(S1515/L1515)*100</f>
        <v>38.28016643550624</v>
      </c>
    </row>
    <row r="1516" spans="1:20" ht="12.75">
      <c r="A1516" s="14"/>
      <c r="B1516" s="12"/>
      <c r="C1516" s="12"/>
      <c r="D1516" s="12"/>
      <c r="E1516" s="12"/>
      <c r="F1516" s="12"/>
      <c r="G1516" s="284"/>
      <c r="H1516" s="56"/>
      <c r="I1516" s="52"/>
      <c r="J1516" s="26"/>
      <c r="K1516" s="26"/>
      <c r="L1516" s="26"/>
      <c r="N1516" s="425"/>
      <c r="P1516" s="547"/>
      <c r="R1516" s="547"/>
      <c r="T1516" s="547"/>
    </row>
    <row r="1517" spans="1:22" s="131" customFormat="1" ht="12.75">
      <c r="A1517" s="605" t="s">
        <v>649</v>
      </c>
      <c r="B1517" s="604" t="s">
        <v>650</v>
      </c>
      <c r="C1517" s="353"/>
      <c r="D1517" s="237"/>
      <c r="E1517" s="237"/>
      <c r="F1517" s="237"/>
      <c r="G1517" s="288">
        <v>21463</v>
      </c>
      <c r="H1517" s="193">
        <f>SUM(H1518:H1527)</f>
        <v>20692</v>
      </c>
      <c r="I1517" s="194">
        <f>SUM(I1518:I1527)</f>
        <v>20480</v>
      </c>
      <c r="J1517" s="193">
        <f>SUM(J1518:J1527)</f>
        <v>8261</v>
      </c>
      <c r="K1517" s="193">
        <f>SUM(K1518:K1527)</f>
        <v>26163</v>
      </c>
      <c r="L1517" s="50">
        <f>SUM(L1518:L1530)</f>
        <v>25534</v>
      </c>
      <c r="M1517" s="399">
        <v>5</v>
      </c>
      <c r="N1517" s="433">
        <f>SUM(M1517/L1517)*100</f>
        <v>0.01958173415837707</v>
      </c>
      <c r="O1517" s="197">
        <f>SUM(O1518:O1527)</f>
        <v>16</v>
      </c>
      <c r="P1517" s="433">
        <f>SUM(O1517/L1517)*100</f>
        <v>0.06266154930680662</v>
      </c>
      <c r="Q1517" s="399">
        <v>63</v>
      </c>
      <c r="R1517" s="433">
        <f>SUM(Q1517/L1517)*100</f>
        <v>0.24672985039555104</v>
      </c>
      <c r="S1517" s="197">
        <f>SUM(S1518:S1530)</f>
        <v>8907</v>
      </c>
      <c r="T1517" s="433">
        <f aca="true" t="shared" si="244" ref="T1517:T1526">SUM(S1517/L1517)*100</f>
        <v>34.8829012297329</v>
      </c>
      <c r="U1517" s="389"/>
      <c r="V1517" s="389"/>
    </row>
    <row r="1518" spans="1:20" ht="12.75">
      <c r="A1518" s="349">
        <v>610</v>
      </c>
      <c r="B1518" s="350" t="s">
        <v>791</v>
      </c>
      <c r="C1518" s="142"/>
      <c r="D1518" s="12"/>
      <c r="E1518" s="12"/>
      <c r="F1518" s="12"/>
      <c r="G1518" s="284"/>
      <c r="H1518" s="56">
        <v>0</v>
      </c>
      <c r="I1518" s="12">
        <f>100+50</f>
        <v>150</v>
      </c>
      <c r="J1518" s="14">
        <v>30</v>
      </c>
      <c r="K1518" s="26">
        <v>1096</v>
      </c>
      <c r="L1518" s="26">
        <v>6810</v>
      </c>
      <c r="N1518" s="425"/>
      <c r="P1518" s="547"/>
      <c r="R1518" s="547"/>
      <c r="S1518" s="31">
        <v>2565</v>
      </c>
      <c r="T1518" s="430">
        <f t="shared" si="244"/>
        <v>37.66519823788546</v>
      </c>
    </row>
    <row r="1519" spans="1:20" ht="12.75">
      <c r="A1519" s="351">
        <v>620</v>
      </c>
      <c r="B1519" s="350" t="s">
        <v>792</v>
      </c>
      <c r="C1519" s="142"/>
      <c r="D1519" s="12"/>
      <c r="E1519" s="12"/>
      <c r="F1519" s="12"/>
      <c r="G1519" s="284"/>
      <c r="H1519" s="56">
        <v>0</v>
      </c>
      <c r="I1519" s="12">
        <f>165-50</f>
        <v>115</v>
      </c>
      <c r="J1519" s="14">
        <v>13</v>
      </c>
      <c r="K1519" s="14">
        <f>115+40</f>
        <v>155</v>
      </c>
      <c r="L1519" s="26">
        <v>2384</v>
      </c>
      <c r="N1519" s="425"/>
      <c r="P1519" s="547"/>
      <c r="R1519" s="547"/>
      <c r="S1519" s="31">
        <v>907</v>
      </c>
      <c r="T1519" s="430">
        <f t="shared" si="244"/>
        <v>38.04530201342282</v>
      </c>
    </row>
    <row r="1520" spans="1:20" ht="12.75">
      <c r="A1520" s="351">
        <v>630</v>
      </c>
      <c r="B1520" s="350" t="s">
        <v>999</v>
      </c>
      <c r="C1520" s="142"/>
      <c r="D1520" s="12"/>
      <c r="E1520" s="12"/>
      <c r="F1520" s="12"/>
      <c r="G1520" s="284"/>
      <c r="H1520" s="56">
        <v>440</v>
      </c>
      <c r="I1520" s="57">
        <f>440+6</f>
        <v>446</v>
      </c>
      <c r="J1520" s="56">
        <v>10</v>
      </c>
      <c r="K1520" s="14"/>
      <c r="L1520" s="26">
        <v>1411</v>
      </c>
      <c r="N1520" s="425"/>
      <c r="P1520" s="547"/>
      <c r="R1520" s="547"/>
      <c r="S1520" s="31">
        <v>257</v>
      </c>
      <c r="T1520" s="430">
        <f t="shared" si="244"/>
        <v>18.214032600992205</v>
      </c>
    </row>
    <row r="1521" spans="1:20" ht="12.75">
      <c r="A1521" s="351">
        <v>640</v>
      </c>
      <c r="B1521" s="12" t="s">
        <v>793</v>
      </c>
      <c r="C1521" s="12"/>
      <c r="D1521" s="12"/>
      <c r="E1521" s="12"/>
      <c r="F1521" s="12"/>
      <c r="G1521" s="284"/>
      <c r="H1521" s="26">
        <f>8148+1741-1000</f>
        <v>8889</v>
      </c>
      <c r="I1521" s="52">
        <f>8222-17</f>
        <v>8205</v>
      </c>
      <c r="J1521" s="26">
        <v>3511</v>
      </c>
      <c r="K1521" s="14">
        <f>7185+2516</f>
        <v>9701</v>
      </c>
      <c r="L1521" s="26">
        <v>125</v>
      </c>
      <c r="N1521" s="425"/>
      <c r="P1521" s="547"/>
      <c r="R1521" s="547"/>
      <c r="S1521" s="31">
        <v>16</v>
      </c>
      <c r="T1521" s="430">
        <f t="shared" si="244"/>
        <v>12.8</v>
      </c>
    </row>
    <row r="1522" spans="1:20" ht="12.75">
      <c r="A1522" s="351">
        <v>610</v>
      </c>
      <c r="B1522" s="350" t="s">
        <v>794</v>
      </c>
      <c r="C1522" s="142"/>
      <c r="D1522" s="12"/>
      <c r="E1522" s="12"/>
      <c r="F1522" s="12"/>
      <c r="G1522" s="284"/>
      <c r="H1522" s="56">
        <f>9063+1300-703</f>
        <v>9660</v>
      </c>
      <c r="I1522" s="52">
        <v>10160</v>
      </c>
      <c r="J1522" s="26">
        <v>4199</v>
      </c>
      <c r="K1522" s="14">
        <f>9190+3212</f>
        <v>12402</v>
      </c>
      <c r="L1522" s="26">
        <v>9115</v>
      </c>
      <c r="N1522" s="425"/>
      <c r="P1522" s="547"/>
      <c r="R1522" s="547"/>
      <c r="S1522" s="31">
        <v>3381</v>
      </c>
      <c r="T1522" s="430">
        <f t="shared" si="244"/>
        <v>37.09270433351618</v>
      </c>
    </row>
    <row r="1523" spans="1:20" ht="12.75">
      <c r="A1523" s="351">
        <v>620</v>
      </c>
      <c r="B1523" s="12" t="s">
        <v>795</v>
      </c>
      <c r="C1523" s="142"/>
      <c r="D1523" s="12"/>
      <c r="E1523" s="12"/>
      <c r="F1523" s="12"/>
      <c r="G1523" s="284"/>
      <c r="H1523" s="56">
        <v>1000</v>
      </c>
      <c r="I1523" s="12">
        <f>371+87</f>
        <v>458</v>
      </c>
      <c r="J1523" s="14">
        <v>191</v>
      </c>
      <c r="K1523" s="26">
        <v>1502</v>
      </c>
      <c r="L1523" s="26">
        <v>3185</v>
      </c>
      <c r="N1523" s="425"/>
      <c r="P1523" s="547"/>
      <c r="R1523" s="547"/>
      <c r="S1523" s="31">
        <v>1163</v>
      </c>
      <c r="T1523" s="430">
        <f t="shared" si="244"/>
        <v>36.514913657770805</v>
      </c>
    </row>
    <row r="1524" spans="1:20" ht="12.75">
      <c r="A1524" s="351">
        <v>630</v>
      </c>
      <c r="B1524" s="350" t="s">
        <v>1000</v>
      </c>
      <c r="C1524" s="142"/>
      <c r="D1524" s="12"/>
      <c r="E1524" s="12"/>
      <c r="F1524" s="12"/>
      <c r="G1524" s="284"/>
      <c r="H1524" s="56">
        <v>703</v>
      </c>
      <c r="I1524" s="12">
        <v>937</v>
      </c>
      <c r="J1524" s="14">
        <v>298</v>
      </c>
      <c r="K1524" s="26">
        <v>1100</v>
      </c>
      <c r="L1524" s="26">
        <v>1199</v>
      </c>
      <c r="N1524" s="425"/>
      <c r="O1524" s="31">
        <v>16</v>
      </c>
      <c r="P1524" s="430">
        <f>SUM(O1524/L1524)*100</f>
        <v>1.3344453711426187</v>
      </c>
      <c r="R1524" s="430"/>
      <c r="S1524" s="31">
        <v>443</v>
      </c>
      <c r="T1524" s="430">
        <f t="shared" si="244"/>
        <v>36.94745621351126</v>
      </c>
    </row>
    <row r="1525" spans="1:20" ht="12.75">
      <c r="A1525" s="351">
        <v>640</v>
      </c>
      <c r="B1525" s="350" t="s">
        <v>796</v>
      </c>
      <c r="C1525" s="142"/>
      <c r="D1525" s="12"/>
      <c r="E1525" s="12"/>
      <c r="F1525" s="12"/>
      <c r="G1525" s="284"/>
      <c r="H1525" s="56"/>
      <c r="I1525" s="12"/>
      <c r="J1525" s="14"/>
      <c r="K1525" s="14">
        <v>125</v>
      </c>
      <c r="L1525" s="26">
        <v>80</v>
      </c>
      <c r="N1525" s="425"/>
      <c r="P1525" s="547"/>
      <c r="R1525" s="547"/>
      <c r="S1525" s="31">
        <v>34</v>
      </c>
      <c r="T1525" s="430">
        <f t="shared" si="244"/>
        <v>42.5</v>
      </c>
    </row>
    <row r="1526" spans="1:20" ht="12.75">
      <c r="A1526" s="351">
        <v>610</v>
      </c>
      <c r="B1526" s="350" t="s">
        <v>805</v>
      </c>
      <c r="C1526" s="142"/>
      <c r="D1526" s="12"/>
      <c r="E1526" s="12"/>
      <c r="F1526" s="12"/>
      <c r="G1526" s="284"/>
      <c r="H1526" s="56"/>
      <c r="I1526" s="12"/>
      <c r="J1526" s="14"/>
      <c r="K1526" s="14">
        <v>2</v>
      </c>
      <c r="L1526" s="26">
        <v>67</v>
      </c>
      <c r="N1526" s="425"/>
      <c r="P1526" s="547"/>
      <c r="R1526" s="547"/>
      <c r="S1526" s="31">
        <v>5</v>
      </c>
      <c r="T1526" s="430">
        <f t="shared" si="244"/>
        <v>7.462686567164178</v>
      </c>
    </row>
    <row r="1527" spans="1:20" ht="12.75">
      <c r="A1527" s="351">
        <v>620</v>
      </c>
      <c r="B1527" s="350" t="s">
        <v>806</v>
      </c>
      <c r="C1527" s="142"/>
      <c r="D1527" s="12"/>
      <c r="E1527" s="12"/>
      <c r="F1527" s="12"/>
      <c r="G1527" s="284"/>
      <c r="H1527" s="56"/>
      <c r="I1527" s="12">
        <f>0+9</f>
        <v>9</v>
      </c>
      <c r="J1527" s="14">
        <v>9</v>
      </c>
      <c r="K1527" s="14">
        <v>80</v>
      </c>
      <c r="L1527" s="26">
        <v>23</v>
      </c>
      <c r="N1527" s="425"/>
      <c r="P1527" s="547"/>
      <c r="R1527" s="547"/>
      <c r="T1527" s="547"/>
    </row>
    <row r="1528" spans="1:20" ht="12.75">
      <c r="A1528" s="351">
        <v>630</v>
      </c>
      <c r="B1528" s="350" t="s">
        <v>807</v>
      </c>
      <c r="C1528" s="142"/>
      <c r="D1528" s="12"/>
      <c r="E1528" s="12"/>
      <c r="F1528" s="12"/>
      <c r="G1528" s="284"/>
      <c r="H1528" s="56"/>
      <c r="I1528" s="12"/>
      <c r="J1528" s="14"/>
      <c r="K1528" s="14"/>
      <c r="L1528" s="26">
        <v>972</v>
      </c>
      <c r="N1528" s="425"/>
      <c r="P1528" s="547"/>
      <c r="R1528" s="547"/>
      <c r="S1528" s="31">
        <v>70</v>
      </c>
      <c r="T1528" s="430">
        <f>SUM(S1528/L1528)*100</f>
        <v>7.20164609053498</v>
      </c>
    </row>
    <row r="1529" spans="1:20" ht="12.75">
      <c r="A1529" s="351">
        <v>640</v>
      </c>
      <c r="B1529" s="350" t="s">
        <v>1001</v>
      </c>
      <c r="C1529" s="142"/>
      <c r="D1529" s="12"/>
      <c r="E1529" s="12"/>
      <c r="F1529" s="12"/>
      <c r="G1529" s="284"/>
      <c r="H1529" s="56"/>
      <c r="I1529" s="12"/>
      <c r="J1529" s="14"/>
      <c r="K1529" s="14"/>
      <c r="L1529" s="26">
        <v>2</v>
      </c>
      <c r="N1529" s="425"/>
      <c r="P1529" s="547"/>
      <c r="R1529" s="547"/>
      <c r="T1529" s="547"/>
    </row>
    <row r="1530" spans="1:20" ht="12.75">
      <c r="A1530" s="351">
        <v>630</v>
      </c>
      <c r="B1530" s="350" t="s">
        <v>808</v>
      </c>
      <c r="C1530" s="142"/>
      <c r="D1530" s="12"/>
      <c r="E1530" s="12"/>
      <c r="F1530" s="12"/>
      <c r="G1530" s="284"/>
      <c r="H1530" s="56"/>
      <c r="I1530" s="12"/>
      <c r="J1530" s="14"/>
      <c r="K1530" s="14"/>
      <c r="L1530" s="26">
        <v>161</v>
      </c>
      <c r="N1530" s="425"/>
      <c r="P1530" s="547"/>
      <c r="R1530" s="547"/>
      <c r="S1530" s="31">
        <v>66</v>
      </c>
      <c r="T1530" s="430">
        <f aca="true" t="shared" si="245" ref="T1530:T1544">SUM(S1530/L1530)*100</f>
        <v>40.993788819875775</v>
      </c>
    </row>
    <row r="1531" spans="1:22" s="131" customFormat="1" ht="12.75">
      <c r="A1531" s="605" t="s">
        <v>1002</v>
      </c>
      <c r="B1531" s="604" t="s">
        <v>1003</v>
      </c>
      <c r="C1531" s="353"/>
      <c r="D1531" s="237"/>
      <c r="E1531" s="237"/>
      <c r="F1531" s="237"/>
      <c r="G1531" s="288">
        <v>3838</v>
      </c>
      <c r="H1531" s="193">
        <f>SUM(H1532:H1535)</f>
        <v>3341</v>
      </c>
      <c r="I1531" s="194">
        <f>SUM(I1532:I1535)</f>
        <v>5035</v>
      </c>
      <c r="J1531" s="193">
        <f>SUM(J1532:J1535)</f>
        <v>2115</v>
      </c>
      <c r="K1531" s="193">
        <f>SUM(K1532:K1535)</f>
        <v>5781</v>
      </c>
      <c r="L1531" s="50">
        <f>SUM(L1532:L1535)</f>
        <v>5507</v>
      </c>
      <c r="M1531" s="389"/>
      <c r="N1531" s="430"/>
      <c r="O1531" s="389"/>
      <c r="P1531" s="549"/>
      <c r="Q1531" s="389"/>
      <c r="R1531" s="549"/>
      <c r="S1531" s="197">
        <f>SUM(S1532:S1535)</f>
        <v>3090</v>
      </c>
      <c r="T1531" s="433">
        <f t="shared" si="245"/>
        <v>56.11040493916833</v>
      </c>
      <c r="U1531" s="389"/>
      <c r="V1531" s="389"/>
    </row>
    <row r="1532" spans="1:20" ht="12.75">
      <c r="A1532" s="351">
        <v>610</v>
      </c>
      <c r="B1532" s="350" t="s">
        <v>797</v>
      </c>
      <c r="C1532" s="142"/>
      <c r="D1532" s="12"/>
      <c r="E1532" s="12"/>
      <c r="F1532" s="12"/>
      <c r="G1532" s="284"/>
      <c r="H1532" s="56">
        <f>2347+143</f>
        <v>2490</v>
      </c>
      <c r="I1532" s="52">
        <v>3434</v>
      </c>
      <c r="J1532" s="26">
        <v>1620</v>
      </c>
      <c r="K1532" s="14">
        <f>3033+1061</f>
        <v>4094</v>
      </c>
      <c r="L1532" s="26">
        <v>2712</v>
      </c>
      <c r="N1532" s="425"/>
      <c r="P1532" s="547"/>
      <c r="R1532" s="547"/>
      <c r="S1532" s="31">
        <v>1234</v>
      </c>
      <c r="T1532" s="430">
        <f t="shared" si="245"/>
        <v>45.501474926253685</v>
      </c>
    </row>
    <row r="1533" spans="1:20" ht="12.75">
      <c r="A1533" s="351">
        <v>620</v>
      </c>
      <c r="B1533" s="350" t="s">
        <v>787</v>
      </c>
      <c r="C1533" s="142"/>
      <c r="D1533" s="12"/>
      <c r="E1533" s="12"/>
      <c r="F1533" s="12"/>
      <c r="G1533" s="284"/>
      <c r="H1533" s="56">
        <v>0</v>
      </c>
      <c r="I1533" s="52">
        <v>130</v>
      </c>
      <c r="J1533" s="26">
        <v>0</v>
      </c>
      <c r="K1533" s="26">
        <v>0</v>
      </c>
      <c r="L1533" s="26">
        <v>948</v>
      </c>
      <c r="N1533" s="425"/>
      <c r="P1533" s="547"/>
      <c r="R1533" s="547"/>
      <c r="S1533" s="31">
        <v>426</v>
      </c>
      <c r="T1533" s="430">
        <f t="shared" si="245"/>
        <v>44.936708860759495</v>
      </c>
    </row>
    <row r="1534" spans="1:20" ht="12.75">
      <c r="A1534" s="351">
        <v>630</v>
      </c>
      <c r="B1534" s="350" t="s">
        <v>506</v>
      </c>
      <c r="C1534" s="142"/>
      <c r="D1534" s="12"/>
      <c r="E1534" s="12"/>
      <c r="F1534" s="12"/>
      <c r="G1534" s="284"/>
      <c r="H1534" s="56">
        <f>884-143</f>
        <v>741</v>
      </c>
      <c r="I1534" s="52">
        <f>1356+5</f>
        <v>1361</v>
      </c>
      <c r="J1534" s="26">
        <v>404</v>
      </c>
      <c r="K1534" s="14">
        <v>1687</v>
      </c>
      <c r="L1534" s="26">
        <v>1817</v>
      </c>
      <c r="N1534" s="425"/>
      <c r="P1534" s="547"/>
      <c r="R1534" s="547"/>
      <c r="S1534" s="31">
        <v>1429</v>
      </c>
      <c r="T1534" s="430">
        <f t="shared" si="245"/>
        <v>78.64611997798569</v>
      </c>
    </row>
    <row r="1535" spans="1:20" ht="12.75">
      <c r="A1535" s="351">
        <v>640</v>
      </c>
      <c r="B1535" s="350" t="s">
        <v>1004</v>
      </c>
      <c r="C1535" s="142"/>
      <c r="D1535" s="12"/>
      <c r="E1535" s="12"/>
      <c r="F1535" s="12"/>
      <c r="G1535" s="284"/>
      <c r="H1535" s="56">
        <v>110</v>
      </c>
      <c r="I1535" s="12">
        <v>110</v>
      </c>
      <c r="J1535" s="14">
        <v>91</v>
      </c>
      <c r="K1535" s="14">
        <v>0</v>
      </c>
      <c r="L1535" s="26">
        <v>30</v>
      </c>
      <c r="N1535" s="425"/>
      <c r="P1535" s="547"/>
      <c r="R1535" s="547"/>
      <c r="S1535" s="31">
        <v>1</v>
      </c>
      <c r="T1535" s="430">
        <f t="shared" si="245"/>
        <v>3.3333333333333335</v>
      </c>
    </row>
    <row r="1536" spans="1:22" s="131" customFormat="1" ht="12.75">
      <c r="A1536" s="605" t="s">
        <v>1005</v>
      </c>
      <c r="B1536" s="604" t="s">
        <v>1006</v>
      </c>
      <c r="C1536" s="353"/>
      <c r="D1536" s="49"/>
      <c r="E1536" s="49"/>
      <c r="F1536" s="49"/>
      <c r="G1536" s="288">
        <v>20423</v>
      </c>
      <c r="H1536" s="198">
        <f>SUM(H1537:H1542)</f>
        <v>20330</v>
      </c>
      <c r="I1536" s="194">
        <f>SUM(I1537:I1542)</f>
        <v>21546</v>
      </c>
      <c r="J1536" s="193">
        <f>SUM(J1537:J1542)</f>
        <v>8554</v>
      </c>
      <c r="K1536" s="193">
        <f>SUM(K1537:K1542)</f>
        <v>22410</v>
      </c>
      <c r="L1536" s="50">
        <f>SUM(L1537:L1544)</f>
        <v>23214</v>
      </c>
      <c r="M1536" s="399">
        <v>1094</v>
      </c>
      <c r="N1536" s="433">
        <f>SUM(M1536/L1536)*100</f>
        <v>4.712673386749375</v>
      </c>
      <c r="O1536" s="197">
        <f>SUM(O1537:O1542)</f>
        <v>1597</v>
      </c>
      <c r="P1536" s="433">
        <f>SUM(O1536/L1536)*100</f>
        <v>6.879469285775825</v>
      </c>
      <c r="Q1536" s="399">
        <v>2591</v>
      </c>
      <c r="R1536" s="433">
        <f>SUM(Q1536/L1536)*100</f>
        <v>11.161368139915568</v>
      </c>
      <c r="S1536" s="197">
        <f>SUM(S1537:S1544)</f>
        <v>9072</v>
      </c>
      <c r="T1536" s="433">
        <f t="shared" si="245"/>
        <v>39.079865598345826</v>
      </c>
      <c r="U1536" s="389"/>
      <c r="V1536" s="389"/>
    </row>
    <row r="1537" spans="1:20" ht="12.75">
      <c r="A1537" s="351">
        <v>610</v>
      </c>
      <c r="B1537" s="350" t="s">
        <v>798</v>
      </c>
      <c r="C1537" s="142"/>
      <c r="D1537" s="12"/>
      <c r="E1537" s="12"/>
      <c r="F1537" s="12"/>
      <c r="G1537" s="284"/>
      <c r="H1537" s="56">
        <v>5537</v>
      </c>
      <c r="I1537" s="52">
        <v>5535</v>
      </c>
      <c r="J1537" s="26">
        <v>2248</v>
      </c>
      <c r="K1537" s="26">
        <f>4253+1486</f>
        <v>5739</v>
      </c>
      <c r="L1537" s="26">
        <v>4253</v>
      </c>
      <c r="N1537" s="425"/>
      <c r="O1537" s="31">
        <v>1339</v>
      </c>
      <c r="P1537" s="430">
        <f>SUM(O1537/L1537)*100</f>
        <v>31.483658593933693</v>
      </c>
      <c r="R1537" s="547"/>
      <c r="S1537" s="31">
        <v>1641</v>
      </c>
      <c r="T1537" s="430">
        <f t="shared" si="245"/>
        <v>38.5845285680696</v>
      </c>
    </row>
    <row r="1538" spans="1:20" ht="12.75">
      <c r="A1538" s="351">
        <v>620</v>
      </c>
      <c r="B1538" s="350" t="s">
        <v>799</v>
      </c>
      <c r="C1538" s="142"/>
      <c r="D1538" s="12"/>
      <c r="E1538" s="12"/>
      <c r="F1538" s="12"/>
      <c r="G1538" s="284"/>
      <c r="H1538" s="56">
        <v>1558</v>
      </c>
      <c r="I1538" s="52">
        <f>1974-82</f>
        <v>1892</v>
      </c>
      <c r="J1538" s="26">
        <v>227</v>
      </c>
      <c r="K1538" s="26">
        <v>2000</v>
      </c>
      <c r="L1538" s="26">
        <v>1486</v>
      </c>
      <c r="N1538" s="425"/>
      <c r="O1538" s="31">
        <v>172</v>
      </c>
      <c r="P1538" s="430">
        <f>SUM(O1538/L1538)*100</f>
        <v>11.574697173620457</v>
      </c>
      <c r="R1538" s="547"/>
      <c r="S1538" s="31">
        <v>583</v>
      </c>
      <c r="T1538" s="430">
        <f t="shared" si="245"/>
        <v>39.2328398384926</v>
      </c>
    </row>
    <row r="1539" spans="1:20" ht="12.75">
      <c r="A1539" s="351">
        <v>630</v>
      </c>
      <c r="B1539" s="350" t="s">
        <v>506</v>
      </c>
      <c r="C1539" s="142"/>
      <c r="D1539" s="12"/>
      <c r="E1539" s="12"/>
      <c r="F1539" s="12"/>
      <c r="G1539" s="284"/>
      <c r="H1539" s="53">
        <v>344</v>
      </c>
      <c r="I1539" s="12">
        <f>200+95</f>
        <v>295</v>
      </c>
      <c r="J1539" s="14">
        <v>238</v>
      </c>
      <c r="K1539" s="26">
        <v>270</v>
      </c>
      <c r="L1539" s="26">
        <v>3000</v>
      </c>
      <c r="N1539" s="425"/>
      <c r="O1539" s="31">
        <v>86</v>
      </c>
      <c r="P1539" s="430">
        <f>SUM(O1539/L1539)*100</f>
        <v>2.8666666666666667</v>
      </c>
      <c r="R1539" s="547"/>
      <c r="S1539" s="31">
        <v>278</v>
      </c>
      <c r="T1539" s="430">
        <f t="shared" si="245"/>
        <v>9.266666666666666</v>
      </c>
    </row>
    <row r="1540" spans="1:20" ht="12.75">
      <c r="A1540" s="351">
        <v>640</v>
      </c>
      <c r="B1540" s="350" t="s">
        <v>800</v>
      </c>
      <c r="C1540" s="142"/>
      <c r="D1540" s="12"/>
      <c r="E1540" s="12"/>
      <c r="F1540" s="12"/>
      <c r="G1540" s="284"/>
      <c r="H1540" s="53">
        <f>738+1626</f>
        <v>2364</v>
      </c>
      <c r="I1540" s="52">
        <f>2826-250</f>
        <v>2576</v>
      </c>
      <c r="J1540" s="26">
        <v>1071</v>
      </c>
      <c r="K1540" s="26">
        <v>3258</v>
      </c>
      <c r="L1540" s="26">
        <v>325</v>
      </c>
      <c r="N1540" s="425"/>
      <c r="P1540" s="547"/>
      <c r="R1540" s="547"/>
      <c r="S1540" s="31">
        <v>162</v>
      </c>
      <c r="T1540" s="430">
        <f t="shared" si="245"/>
        <v>49.84615384615385</v>
      </c>
    </row>
    <row r="1541" spans="1:20" ht="12.75">
      <c r="A1541" s="351">
        <v>610</v>
      </c>
      <c r="B1541" s="350" t="s">
        <v>801</v>
      </c>
      <c r="C1541" s="142"/>
      <c r="D1541" s="12"/>
      <c r="E1541" s="12"/>
      <c r="F1541" s="12"/>
      <c r="G1541" s="284"/>
      <c r="H1541" s="53">
        <v>0</v>
      </c>
      <c r="I1541" s="52">
        <f>57+649</f>
        <v>706</v>
      </c>
      <c r="J1541" s="26">
        <v>551</v>
      </c>
      <c r="K1541" s="26">
        <v>806</v>
      </c>
      <c r="L1541" s="26">
        <v>7660</v>
      </c>
      <c r="N1541" s="425"/>
      <c r="P1541" s="547"/>
      <c r="R1541" s="547"/>
      <c r="S1541" s="31">
        <v>3082</v>
      </c>
      <c r="T1541" s="430">
        <f t="shared" si="245"/>
        <v>40.234986945169716</v>
      </c>
    </row>
    <row r="1542" spans="1:20" ht="12.75">
      <c r="A1542" s="354">
        <v>620</v>
      </c>
      <c r="B1542" s="350" t="s">
        <v>787</v>
      </c>
      <c r="C1542" s="142"/>
      <c r="D1542" s="12"/>
      <c r="E1542" s="12"/>
      <c r="F1542" s="12"/>
      <c r="G1542" s="284"/>
      <c r="H1542" s="56">
        <f>12153-1626</f>
        <v>10527</v>
      </c>
      <c r="I1542" s="52">
        <f>10527+15</f>
        <v>10542</v>
      </c>
      <c r="J1542" s="26">
        <v>4219</v>
      </c>
      <c r="K1542" s="26">
        <f>7660+2677</f>
        <v>10337</v>
      </c>
      <c r="L1542" s="26">
        <v>2677</v>
      </c>
      <c r="N1542" s="425"/>
      <c r="P1542" s="547"/>
      <c r="R1542" s="547"/>
      <c r="S1542" s="31">
        <v>1071</v>
      </c>
      <c r="T1542" s="430">
        <f t="shared" si="245"/>
        <v>40.00747104968248</v>
      </c>
    </row>
    <row r="1543" spans="1:20" ht="12.75">
      <c r="A1543" s="354">
        <v>630</v>
      </c>
      <c r="B1543" s="350" t="s">
        <v>802</v>
      </c>
      <c r="C1543" s="142"/>
      <c r="D1543" s="12"/>
      <c r="E1543" s="12"/>
      <c r="F1543" s="12"/>
      <c r="G1543" s="162"/>
      <c r="H1543" s="57"/>
      <c r="I1543" s="52"/>
      <c r="J1543" s="52"/>
      <c r="K1543" s="52"/>
      <c r="L1543" s="26">
        <v>2990</v>
      </c>
      <c r="N1543" s="425"/>
      <c r="P1543" s="547"/>
      <c r="R1543" s="547"/>
      <c r="S1543" s="31">
        <v>1661</v>
      </c>
      <c r="T1543" s="430">
        <f t="shared" si="245"/>
        <v>55.551839464882946</v>
      </c>
    </row>
    <row r="1544" spans="1:20" ht="12.75">
      <c r="A1544" s="354">
        <v>640</v>
      </c>
      <c r="B1544" s="350" t="s">
        <v>803</v>
      </c>
      <c r="C1544" s="142"/>
      <c r="D1544" s="12"/>
      <c r="E1544" s="12"/>
      <c r="F1544" s="12"/>
      <c r="G1544" s="162"/>
      <c r="H1544" s="57"/>
      <c r="I1544" s="52"/>
      <c r="J1544" s="52"/>
      <c r="K1544" s="52"/>
      <c r="L1544" s="26">
        <v>823</v>
      </c>
      <c r="N1544" s="425"/>
      <c r="P1544" s="547"/>
      <c r="R1544" s="547"/>
      <c r="S1544" s="31">
        <v>594</v>
      </c>
      <c r="T1544" s="430">
        <f t="shared" si="245"/>
        <v>72.17496962332929</v>
      </c>
    </row>
    <row r="1545" spans="1:20" ht="12.75">
      <c r="A1545" s="354"/>
      <c r="B1545" s="350"/>
      <c r="C1545" s="142"/>
      <c r="D1545" s="12"/>
      <c r="E1545" s="12"/>
      <c r="F1545" s="12"/>
      <c r="G1545" s="162"/>
      <c r="H1545" s="57"/>
      <c r="I1545" s="52"/>
      <c r="J1545" s="52"/>
      <c r="K1545" s="52"/>
      <c r="L1545" s="26"/>
      <c r="N1545" s="425"/>
      <c r="P1545" s="547"/>
      <c r="R1545" s="547"/>
      <c r="T1545" s="547"/>
    </row>
    <row r="1546" spans="1:22" s="275" customFormat="1" ht="15">
      <c r="A1546" s="511">
        <v>700</v>
      </c>
      <c r="B1546" s="510" t="s">
        <v>38</v>
      </c>
      <c r="C1546" s="352"/>
      <c r="D1546" s="63"/>
      <c r="E1546" s="63"/>
      <c r="F1546" s="63"/>
      <c r="G1546" s="245"/>
      <c r="H1546" s="495"/>
      <c r="I1546" s="495"/>
      <c r="J1546" s="63"/>
      <c r="K1546" s="63"/>
      <c r="L1546" s="64">
        <f>SUM(L1547+L1550+L1554+L1556+L1558)</f>
        <v>7466</v>
      </c>
      <c r="M1546" s="370"/>
      <c r="N1546" s="432"/>
      <c r="O1546" s="370"/>
      <c r="P1546" s="553"/>
      <c r="Q1546" s="370"/>
      <c r="R1546" s="553"/>
      <c r="S1546" s="413">
        <f>SUM(S1547+S1550+S1554+S1556+S1558)</f>
        <v>3626</v>
      </c>
      <c r="T1546" s="432">
        <f>SUM(S1546/L1546)*100</f>
        <v>48.56683632467185</v>
      </c>
      <c r="U1546" s="370"/>
      <c r="V1546" s="370"/>
    </row>
    <row r="1547" spans="1:22" s="109" customFormat="1" ht="12.75">
      <c r="A1547" s="603" t="s">
        <v>640</v>
      </c>
      <c r="B1547" s="604" t="s">
        <v>641</v>
      </c>
      <c r="C1547" s="353"/>
      <c r="D1547" s="237"/>
      <c r="E1547" s="237"/>
      <c r="F1547" s="237"/>
      <c r="G1547" s="161"/>
      <c r="H1547" s="324"/>
      <c r="I1547" s="324"/>
      <c r="J1547" s="237"/>
      <c r="K1547" s="237"/>
      <c r="L1547" s="375">
        <f>SUM(L1548:L1549)</f>
        <v>717</v>
      </c>
      <c r="M1547" s="121"/>
      <c r="N1547" s="431"/>
      <c r="O1547" s="121"/>
      <c r="P1547" s="550"/>
      <c r="Q1547" s="121"/>
      <c r="R1547" s="550"/>
      <c r="S1547" s="121">
        <v>15</v>
      </c>
      <c r="T1547" s="431">
        <f>SUM(S1547/L1547)*100</f>
        <v>2.092050209205021</v>
      </c>
      <c r="U1547" s="121"/>
      <c r="V1547" s="121"/>
    </row>
    <row r="1548" spans="1:20" ht="12.75">
      <c r="A1548" s="14">
        <v>713</v>
      </c>
      <c r="B1548" s="12" t="s">
        <v>788</v>
      </c>
      <c r="C1548" s="95"/>
      <c r="D1548" s="12"/>
      <c r="E1548" s="12"/>
      <c r="F1548" s="12"/>
      <c r="G1548" s="284"/>
      <c r="H1548" s="56">
        <v>0</v>
      </c>
      <c r="I1548" s="12"/>
      <c r="J1548" s="14"/>
      <c r="K1548" s="11">
        <v>0</v>
      </c>
      <c r="L1548" s="26">
        <v>500</v>
      </c>
      <c r="N1548" s="425"/>
      <c r="P1548" s="547"/>
      <c r="R1548" s="547"/>
      <c r="T1548" s="547"/>
    </row>
    <row r="1549" spans="1:20" ht="12.75">
      <c r="A1549" s="14">
        <v>717003</v>
      </c>
      <c r="B1549" s="12" t="s">
        <v>804</v>
      </c>
      <c r="C1549" s="95"/>
      <c r="D1549" s="12"/>
      <c r="E1549" s="12"/>
      <c r="F1549" s="12"/>
      <c r="G1549" s="284"/>
      <c r="H1549" s="56"/>
      <c r="I1549" s="12"/>
      <c r="J1549" s="14"/>
      <c r="K1549" s="11"/>
      <c r="L1549" s="26">
        <v>217</v>
      </c>
      <c r="N1549" s="425"/>
      <c r="P1549" s="547"/>
      <c r="R1549" s="547"/>
      <c r="S1549" s="31">
        <v>15</v>
      </c>
      <c r="T1549" s="430">
        <f>SUM(S1549/L1549)*100</f>
        <v>6.912442396313365</v>
      </c>
    </row>
    <row r="1550" spans="1:22" s="109" customFormat="1" ht="12.75">
      <c r="A1550" s="603" t="s">
        <v>647</v>
      </c>
      <c r="B1550" s="604" t="s">
        <v>648</v>
      </c>
      <c r="C1550" s="615"/>
      <c r="D1550" s="237"/>
      <c r="E1550" s="237"/>
      <c r="F1550" s="237"/>
      <c r="G1550" s="161"/>
      <c r="H1550" s="324"/>
      <c r="I1550" s="324"/>
      <c r="J1550" s="237"/>
      <c r="K1550" s="237"/>
      <c r="L1550" s="375">
        <f>SUM(L1551+L1552+L1553)</f>
        <v>6214</v>
      </c>
      <c r="M1550" s="121"/>
      <c r="N1550" s="431"/>
      <c r="O1550" s="121"/>
      <c r="P1550" s="550"/>
      <c r="Q1550" s="121"/>
      <c r="R1550" s="550"/>
      <c r="S1550" s="376">
        <f>SUM(S1551+S1552+S1553)</f>
        <v>3475</v>
      </c>
      <c r="T1550" s="431">
        <f>SUM(S1550/L1550)*100</f>
        <v>55.92211136144191</v>
      </c>
      <c r="U1550" s="121"/>
      <c r="V1550" s="121"/>
    </row>
    <row r="1551" spans="1:20" ht="12.75">
      <c r="A1551" s="14">
        <v>713</v>
      </c>
      <c r="B1551" s="12" t="s">
        <v>788</v>
      </c>
      <c r="C1551" s="95"/>
      <c r="D1551" s="12"/>
      <c r="E1551" s="12"/>
      <c r="F1551" s="12"/>
      <c r="G1551" s="284"/>
      <c r="H1551" s="56">
        <v>0</v>
      </c>
      <c r="I1551" s="12"/>
      <c r="J1551" s="14"/>
      <c r="K1551" s="11">
        <v>0</v>
      </c>
      <c r="L1551" s="26">
        <v>56</v>
      </c>
      <c r="N1551" s="425"/>
      <c r="P1551" s="547"/>
      <c r="R1551" s="547"/>
      <c r="T1551" s="547"/>
    </row>
    <row r="1552" spans="1:20" ht="12.75">
      <c r="A1552" s="14">
        <v>716</v>
      </c>
      <c r="B1552" s="12" t="s">
        <v>790</v>
      </c>
      <c r="C1552" s="95"/>
      <c r="D1552" s="12"/>
      <c r="E1552" s="12"/>
      <c r="F1552" s="12"/>
      <c r="G1552" s="162"/>
      <c r="H1552" s="57"/>
      <c r="I1552" s="12"/>
      <c r="J1552" s="12"/>
      <c r="K1552" s="12"/>
      <c r="L1552" s="26">
        <v>41</v>
      </c>
      <c r="N1552" s="425"/>
      <c r="P1552" s="547"/>
      <c r="R1552" s="547"/>
      <c r="T1552" s="547"/>
    </row>
    <row r="1553" spans="1:20" ht="12.75">
      <c r="A1553" s="14">
        <v>717</v>
      </c>
      <c r="B1553" s="12" t="s">
        <v>38</v>
      </c>
      <c r="C1553" s="95"/>
      <c r="D1553" s="12"/>
      <c r="E1553" s="12"/>
      <c r="F1553" s="12"/>
      <c r="G1553" s="162"/>
      <c r="H1553" s="57"/>
      <c r="I1553" s="12"/>
      <c r="J1553" s="12"/>
      <c r="K1553" s="12"/>
      <c r="L1553" s="26">
        <v>6117</v>
      </c>
      <c r="N1553" s="425"/>
      <c r="P1553" s="547"/>
      <c r="R1553" s="547"/>
      <c r="S1553" s="31">
        <v>3475</v>
      </c>
      <c r="T1553" s="430">
        <f>SUM(S1553/L1553)*100</f>
        <v>56.808893248324345</v>
      </c>
    </row>
    <row r="1554" spans="1:22" s="614" customFormat="1" ht="12.75">
      <c r="A1554" s="605" t="s">
        <v>649</v>
      </c>
      <c r="B1554" s="604" t="s">
        <v>650</v>
      </c>
      <c r="C1554" s="606"/>
      <c r="D1554" s="604"/>
      <c r="E1554" s="604"/>
      <c r="F1554" s="604"/>
      <c r="G1554" s="607"/>
      <c r="H1554" s="608"/>
      <c r="I1554" s="609"/>
      <c r="J1554" s="609"/>
      <c r="K1554" s="609"/>
      <c r="L1554" s="610">
        <v>120</v>
      </c>
      <c r="M1554" s="611"/>
      <c r="N1554" s="612"/>
      <c r="O1554" s="611"/>
      <c r="P1554" s="613"/>
      <c r="Q1554" s="611"/>
      <c r="R1554" s="613"/>
      <c r="S1554" s="720">
        <v>11</v>
      </c>
      <c r="T1554" s="433">
        <f>SUM(S1554/L1554)*100</f>
        <v>9.166666666666666</v>
      </c>
      <c r="U1554" s="611"/>
      <c r="V1554" s="611"/>
    </row>
    <row r="1555" spans="1:20" ht="12.75">
      <c r="A1555" s="14">
        <v>700</v>
      </c>
      <c r="B1555" s="12" t="s">
        <v>38</v>
      </c>
      <c r="C1555" s="95"/>
      <c r="D1555" s="12"/>
      <c r="E1555" s="12"/>
      <c r="F1555" s="12"/>
      <c r="G1555" s="162"/>
      <c r="H1555" s="57"/>
      <c r="I1555" s="12"/>
      <c r="J1555" s="12"/>
      <c r="K1555" s="12"/>
      <c r="L1555" s="26">
        <v>120</v>
      </c>
      <c r="N1555" s="425"/>
      <c r="P1555" s="547"/>
      <c r="R1555" s="547"/>
      <c r="S1555" s="31">
        <v>11</v>
      </c>
      <c r="T1555" s="430">
        <f>SUM(S1555/L1555)*100</f>
        <v>9.166666666666666</v>
      </c>
    </row>
    <row r="1556" spans="1:22" s="130" customFormat="1" ht="12.75">
      <c r="A1556" s="605" t="s">
        <v>1002</v>
      </c>
      <c r="B1556" s="49" t="s">
        <v>1003</v>
      </c>
      <c r="C1556" s="348"/>
      <c r="D1556" s="49"/>
      <c r="E1556" s="49"/>
      <c r="F1556" s="49"/>
      <c r="G1556" s="269"/>
      <c r="H1556" s="194"/>
      <c r="I1556" s="49"/>
      <c r="J1556" s="49"/>
      <c r="K1556" s="49"/>
      <c r="L1556" s="50">
        <v>290</v>
      </c>
      <c r="M1556" s="399"/>
      <c r="N1556" s="433"/>
      <c r="O1556" s="399"/>
      <c r="P1556" s="552"/>
      <c r="Q1556" s="399"/>
      <c r="R1556" s="552"/>
      <c r="S1556" s="399"/>
      <c r="T1556" s="552"/>
      <c r="U1556" s="399"/>
      <c r="V1556" s="399"/>
    </row>
    <row r="1557" spans="1:20" ht="12.75">
      <c r="A1557" s="14">
        <v>700</v>
      </c>
      <c r="B1557" s="12" t="s">
        <v>38</v>
      </c>
      <c r="C1557" s="95"/>
      <c r="D1557" s="12"/>
      <c r="E1557" s="12"/>
      <c r="F1557" s="12"/>
      <c r="G1557" s="162"/>
      <c r="H1557" s="57"/>
      <c r="I1557" s="12"/>
      <c r="J1557" s="12"/>
      <c r="K1557" s="12"/>
      <c r="L1557" s="26">
        <v>290</v>
      </c>
      <c r="N1557" s="425"/>
      <c r="P1557" s="547"/>
      <c r="R1557" s="547"/>
      <c r="T1557" s="547"/>
    </row>
    <row r="1558" spans="1:22" s="49" customFormat="1" ht="12.75">
      <c r="A1558" s="605" t="s">
        <v>1005</v>
      </c>
      <c r="B1558" s="49" t="s">
        <v>1006</v>
      </c>
      <c r="G1558" s="269"/>
      <c r="H1558" s="194"/>
      <c r="K1558" s="51"/>
      <c r="L1558" s="50">
        <v>125</v>
      </c>
      <c r="M1558" s="51"/>
      <c r="N1558" s="433"/>
      <c r="O1558" s="51"/>
      <c r="P1558" s="552"/>
      <c r="Q1558" s="51"/>
      <c r="R1558" s="552"/>
      <c r="S1558" s="197">
        <v>125</v>
      </c>
      <c r="T1558" s="433">
        <f>SUM(S1558/L1558)*100</f>
        <v>100</v>
      </c>
      <c r="U1558" s="51"/>
      <c r="V1558" s="51"/>
    </row>
    <row r="1559" spans="1:20" ht="13.5" thickBot="1">
      <c r="A1559" s="21">
        <v>700</v>
      </c>
      <c r="B1559" s="19" t="s">
        <v>38</v>
      </c>
      <c r="C1559" s="19"/>
      <c r="D1559" s="19"/>
      <c r="E1559" s="19"/>
      <c r="F1559" s="19"/>
      <c r="G1559" s="369"/>
      <c r="H1559" s="616"/>
      <c r="I1559" s="19"/>
      <c r="J1559" s="19"/>
      <c r="K1559" s="99"/>
      <c r="L1559" s="27">
        <v>125</v>
      </c>
      <c r="M1559" s="99"/>
      <c r="N1559" s="429"/>
      <c r="O1559" s="99"/>
      <c r="P1559" s="548"/>
      <c r="Q1559" s="411"/>
      <c r="R1559" s="548"/>
      <c r="S1559" s="404">
        <v>125</v>
      </c>
      <c r="T1559" s="443">
        <f>SUM(S1559/L1559)*100</f>
        <v>100</v>
      </c>
    </row>
    <row r="1560" spans="1:14" ht="12.75">
      <c r="A1560" s="12"/>
      <c r="B1560" s="12"/>
      <c r="C1560" s="12"/>
      <c r="D1560" s="12"/>
      <c r="E1560" s="12"/>
      <c r="F1560" s="12"/>
      <c r="G1560" s="162"/>
      <c r="H1560" s="57"/>
      <c r="I1560" s="12"/>
      <c r="J1560" s="12"/>
      <c r="K1560" s="52"/>
      <c r="L1560" s="52"/>
      <c r="N1560" s="428"/>
    </row>
    <row r="1561" spans="1:14" ht="12.75">
      <c r="A1561" s="12" t="s">
        <v>325</v>
      </c>
      <c r="B1561" s="12"/>
      <c r="C1561" s="12"/>
      <c r="D1561" s="12"/>
      <c r="E1561" s="12"/>
      <c r="F1561" s="12"/>
      <c r="G1561" s="162"/>
      <c r="H1561" s="57"/>
      <c r="I1561" s="12"/>
      <c r="J1561" s="12"/>
      <c r="K1561" s="52"/>
      <c r="L1561" s="52"/>
      <c r="N1561" s="428"/>
    </row>
    <row r="1562" spans="1:14" ht="12.75">
      <c r="A1562" s="12"/>
      <c r="B1562" s="12"/>
      <c r="C1562" s="12"/>
      <c r="D1562" s="12"/>
      <c r="E1562" s="12"/>
      <c r="F1562" s="12"/>
      <c r="G1562" s="162"/>
      <c r="H1562" s="57"/>
      <c r="I1562" s="12"/>
      <c r="J1562" s="12"/>
      <c r="K1562" s="52"/>
      <c r="L1562" s="52"/>
      <c r="N1562" s="428"/>
    </row>
    <row r="1563" spans="1:14" ht="12.75">
      <c r="A1563" s="12"/>
      <c r="B1563" s="12"/>
      <c r="C1563" s="12"/>
      <c r="D1563" s="12"/>
      <c r="E1563" s="12"/>
      <c r="F1563" s="12"/>
      <c r="G1563" s="162"/>
      <c r="H1563" s="57"/>
      <c r="I1563" s="12"/>
      <c r="J1563" s="12"/>
      <c r="K1563" s="52"/>
      <c r="L1563" s="52"/>
      <c r="N1563" s="428"/>
    </row>
    <row r="1564" spans="1:14" ht="12.75">
      <c r="A1564" s="12"/>
      <c r="B1564" s="12"/>
      <c r="C1564" s="12"/>
      <c r="D1564" s="12"/>
      <c r="E1564" s="12"/>
      <c r="F1564" s="12"/>
      <c r="G1564" s="162"/>
      <c r="H1564" s="57"/>
      <c r="I1564" s="12"/>
      <c r="J1564" s="12"/>
      <c r="K1564" s="52"/>
      <c r="L1564" s="52"/>
      <c r="N1564" s="428"/>
    </row>
    <row r="1565" spans="1:16" ht="15.75">
      <c r="A1565" s="1" t="s">
        <v>1007</v>
      </c>
      <c r="B1565" s="1"/>
      <c r="C1565" s="1"/>
      <c r="D1565" s="2"/>
      <c r="E1565" s="2"/>
      <c r="F1565" s="2"/>
      <c r="G1565" s="2"/>
      <c r="H1565" s="165"/>
      <c r="I1565" s="165"/>
      <c r="J1565" s="165"/>
      <c r="K1565" s="2"/>
      <c r="L1565" s="401"/>
      <c r="M1565" s="401"/>
      <c r="N1565" s="436"/>
      <c r="O1565" s="401"/>
      <c r="P1565" s="2"/>
    </row>
    <row r="1566" spans="1:10" ht="16.5" thickBot="1">
      <c r="A1566" s="1"/>
      <c r="B1566" s="1"/>
      <c r="C1566" s="1"/>
      <c r="H1566" s="12"/>
      <c r="I1566" s="12"/>
      <c r="J1566" s="12"/>
    </row>
    <row r="1567" spans="1:20" ht="13.5" thickBot="1">
      <c r="A1567" s="177" t="s">
        <v>44</v>
      </c>
      <c r="B1567" s="178"/>
      <c r="C1567" s="178"/>
      <c r="D1567" s="179"/>
      <c r="E1567" s="179"/>
      <c r="F1567" s="179"/>
      <c r="G1567" s="15" t="s">
        <v>23</v>
      </c>
      <c r="H1567" s="136"/>
      <c r="I1567" s="137" t="s">
        <v>395</v>
      </c>
      <c r="J1567" s="216"/>
      <c r="K1567" s="10" t="s">
        <v>25</v>
      </c>
      <c r="L1567" s="238" t="s">
        <v>645</v>
      </c>
      <c r="M1567" s="403" t="s">
        <v>296</v>
      </c>
      <c r="N1567" s="426" t="s">
        <v>684</v>
      </c>
      <c r="O1567" s="403" t="s">
        <v>296</v>
      </c>
      <c r="P1567" s="426" t="s">
        <v>683</v>
      </c>
      <c r="Q1567" s="403" t="s">
        <v>296</v>
      </c>
      <c r="R1567" s="426" t="s">
        <v>681</v>
      </c>
      <c r="S1567" s="403" t="s">
        <v>296</v>
      </c>
      <c r="T1567" s="421" t="s">
        <v>681</v>
      </c>
    </row>
    <row r="1568" spans="1:20" ht="16.5" thickTop="1">
      <c r="A1568" s="180" t="s">
        <v>206</v>
      </c>
      <c r="B1568" s="181" t="s">
        <v>207</v>
      </c>
      <c r="C1568" s="182"/>
      <c r="D1568" s="12"/>
      <c r="E1568" s="12"/>
      <c r="F1568" s="12"/>
      <c r="G1568" s="11" t="s">
        <v>45</v>
      </c>
      <c r="H1568" s="32" t="s">
        <v>27</v>
      </c>
      <c r="I1568" s="6" t="s">
        <v>92</v>
      </c>
      <c r="J1568" s="108" t="s">
        <v>29</v>
      </c>
      <c r="K1568" s="33" t="s">
        <v>46</v>
      </c>
      <c r="L1568" s="208"/>
      <c r="M1568" s="25" t="s">
        <v>297</v>
      </c>
      <c r="N1568" s="425"/>
      <c r="O1568" s="25" t="s">
        <v>750</v>
      </c>
      <c r="P1568" s="547"/>
      <c r="Q1568" s="25" t="s">
        <v>896</v>
      </c>
      <c r="R1568" s="547"/>
      <c r="S1568" s="25" t="s">
        <v>957</v>
      </c>
      <c r="T1568" s="422"/>
    </row>
    <row r="1569" spans="1:20" ht="13.5" thickBot="1">
      <c r="A1569" s="183"/>
      <c r="B1569" s="184"/>
      <c r="C1569" s="185"/>
      <c r="D1569" s="37"/>
      <c r="E1569" s="37"/>
      <c r="F1569" s="37"/>
      <c r="G1569" s="83"/>
      <c r="H1569" s="84">
        <v>38335</v>
      </c>
      <c r="I1569" s="148">
        <v>38587</v>
      </c>
      <c r="J1569" s="110" t="s">
        <v>31</v>
      </c>
      <c r="K1569" s="33" t="s">
        <v>32</v>
      </c>
      <c r="L1569" s="242"/>
      <c r="M1569" s="404"/>
      <c r="N1569" s="429"/>
      <c r="O1569" s="404"/>
      <c r="P1569" s="548"/>
      <c r="Q1569" s="404"/>
      <c r="R1569" s="548"/>
      <c r="S1569" s="404"/>
      <c r="T1569" s="423"/>
    </row>
    <row r="1570" spans="1:20" ht="13.5" thickBot="1">
      <c r="A1570" s="186" t="s">
        <v>47</v>
      </c>
      <c r="B1570" s="187"/>
      <c r="C1570" s="39"/>
      <c r="D1570" s="347" t="s">
        <v>48</v>
      </c>
      <c r="E1570" s="19"/>
      <c r="F1570" s="19"/>
      <c r="G1570" s="152">
        <v>1</v>
      </c>
      <c r="H1570" s="41">
        <v>2</v>
      </c>
      <c r="I1570" s="188">
        <v>3</v>
      </c>
      <c r="J1570" s="22">
        <v>4</v>
      </c>
      <c r="K1570" s="40">
        <v>1</v>
      </c>
      <c r="L1570" s="599">
        <v>1</v>
      </c>
      <c r="M1570" s="409"/>
      <c r="N1570" s="424"/>
      <c r="P1570" s="547"/>
      <c r="R1570" s="556"/>
      <c r="T1570" s="556"/>
    </row>
    <row r="1571" spans="1:20" ht="15">
      <c r="A1571" s="457"/>
      <c r="B1571" s="372" t="s">
        <v>228</v>
      </c>
      <c r="C1571" s="372"/>
      <c r="D1571" s="373"/>
      <c r="E1571" s="373"/>
      <c r="F1571" s="373"/>
      <c r="G1571" s="450">
        <f aca="true" t="shared" si="246" ref="G1571:O1571">G1573</f>
        <v>200</v>
      </c>
      <c r="H1571" s="450">
        <f t="shared" si="246"/>
        <v>200</v>
      </c>
      <c r="I1571" s="450">
        <f t="shared" si="246"/>
        <v>100</v>
      </c>
      <c r="J1571" s="450">
        <f t="shared" si="246"/>
        <v>95</v>
      </c>
      <c r="K1571" s="450">
        <f t="shared" si="246"/>
        <v>200</v>
      </c>
      <c r="L1571" s="390">
        <f t="shared" si="246"/>
        <v>200</v>
      </c>
      <c r="M1571" s="371">
        <f t="shared" si="246"/>
        <v>24</v>
      </c>
      <c r="N1571" s="440">
        <f>SUM(M1571/L1571)*100</f>
        <v>12</v>
      </c>
      <c r="O1571" s="392">
        <f t="shared" si="246"/>
        <v>29</v>
      </c>
      <c r="P1571" s="567">
        <f>SUM(O1571/L1571)*100</f>
        <v>14.499999999999998</v>
      </c>
      <c r="Q1571" s="392">
        <f>Q1573</f>
        <v>38</v>
      </c>
      <c r="R1571" s="567">
        <f>SUM(Q1571/L1571)*100</f>
        <v>19</v>
      </c>
      <c r="S1571" s="392">
        <f>S1573</f>
        <v>39</v>
      </c>
      <c r="T1571" s="567">
        <f>SUM(S1571/L1571)*100</f>
        <v>19.5</v>
      </c>
    </row>
    <row r="1572" spans="1:20" ht="12.75">
      <c r="A1572" s="327"/>
      <c r="B1572" s="12"/>
      <c r="C1572" s="12"/>
      <c r="D1572" s="12"/>
      <c r="E1572" s="12"/>
      <c r="F1572" s="12"/>
      <c r="G1572" s="284"/>
      <c r="H1572" s="14"/>
      <c r="I1572" s="14"/>
      <c r="J1572" s="14"/>
      <c r="K1572" s="14"/>
      <c r="L1572" s="26"/>
      <c r="N1572" s="425"/>
      <c r="P1572" s="547"/>
      <c r="R1572" s="547"/>
      <c r="T1572" s="547"/>
    </row>
    <row r="1573" spans="1:20" ht="12.75">
      <c r="A1573" s="300">
        <v>642</v>
      </c>
      <c r="B1573" s="355" t="s">
        <v>1008</v>
      </c>
      <c r="C1573" s="49"/>
      <c r="D1573" s="12"/>
      <c r="E1573" s="12"/>
      <c r="F1573" s="12"/>
      <c r="G1573" s="288">
        <f>SUM(G1574)</f>
        <v>200</v>
      </c>
      <c r="H1573" s="66">
        <f>H1574</f>
        <v>200</v>
      </c>
      <c r="I1573" s="66">
        <f>I1574</f>
        <v>100</v>
      </c>
      <c r="J1573" s="66">
        <f>J1574</f>
        <v>95</v>
      </c>
      <c r="K1573" s="66">
        <f>K1574</f>
        <v>200</v>
      </c>
      <c r="L1573" s="50">
        <f>L1574</f>
        <v>200</v>
      </c>
      <c r="M1573" s="399">
        <v>24</v>
      </c>
      <c r="N1573" s="433">
        <f>SUM(M1573/L1573)*100</f>
        <v>12</v>
      </c>
      <c r="O1573" s="399">
        <v>29</v>
      </c>
      <c r="P1573" s="433">
        <f>SUM(O1573/L1573)*100</f>
        <v>14.499999999999998</v>
      </c>
      <c r="Q1573" s="399">
        <v>38</v>
      </c>
      <c r="R1573" s="433">
        <f>SUM(Q1573/L1573)*100</f>
        <v>19</v>
      </c>
      <c r="S1573" s="399">
        <v>39</v>
      </c>
      <c r="T1573" s="433">
        <f>SUM(S1573/L1573)*100</f>
        <v>19.5</v>
      </c>
    </row>
    <row r="1574" spans="1:20" ht="12.75">
      <c r="A1574" s="328">
        <v>642026</v>
      </c>
      <c r="B1574" s="329" t="s">
        <v>1009</v>
      </c>
      <c r="C1574" s="55"/>
      <c r="D1574" s="12"/>
      <c r="E1574" s="12"/>
      <c r="F1574" s="12"/>
      <c r="G1574" s="284">
        <v>200</v>
      </c>
      <c r="H1574" s="14">
        <v>200</v>
      </c>
      <c r="I1574" s="14">
        <v>100</v>
      </c>
      <c r="J1574" s="14">
        <v>95</v>
      </c>
      <c r="K1574" s="14">
        <v>200</v>
      </c>
      <c r="L1574" s="26">
        <v>200</v>
      </c>
      <c r="M1574" s="31">
        <v>24</v>
      </c>
      <c r="N1574" s="430">
        <f>SUM(M1574/L1574)*100</f>
        <v>12</v>
      </c>
      <c r="O1574" s="31">
        <v>29</v>
      </c>
      <c r="P1574" s="430">
        <f>SUM(O1574/L1574)*100</f>
        <v>14.499999999999998</v>
      </c>
      <c r="Q1574" s="31">
        <v>38</v>
      </c>
      <c r="R1574" s="430">
        <f>SUM(Q1574/L1574)*100</f>
        <v>19</v>
      </c>
      <c r="S1574" s="31">
        <v>39</v>
      </c>
      <c r="T1574" s="430">
        <f>SUM(S1574/L1574)*100</f>
        <v>19.5</v>
      </c>
    </row>
    <row r="1575" spans="1:20" ht="13.5" thickBot="1">
      <c r="A1575" s="341"/>
      <c r="B1575" s="356" t="s">
        <v>1010</v>
      </c>
      <c r="C1575" s="77"/>
      <c r="D1575" s="19"/>
      <c r="E1575" s="19"/>
      <c r="F1575" s="19"/>
      <c r="G1575" s="296"/>
      <c r="H1575" s="21"/>
      <c r="I1575" s="21"/>
      <c r="J1575" s="21"/>
      <c r="K1575" s="21"/>
      <c r="L1575" s="27"/>
      <c r="M1575" s="411"/>
      <c r="N1575" s="429"/>
      <c r="O1575" s="411"/>
      <c r="P1575" s="548"/>
      <c r="Q1575" s="411"/>
      <c r="R1575" s="548"/>
      <c r="S1575" s="404"/>
      <c r="T1575" s="548"/>
    </row>
    <row r="1576" spans="1:12" ht="12.75">
      <c r="A1576" s="70"/>
      <c r="B1576" s="69"/>
      <c r="C1576" s="70"/>
      <c r="D1576" s="12"/>
      <c r="E1576" s="12"/>
      <c r="F1576" s="12"/>
      <c r="G1576" s="162"/>
      <c r="H1576" s="55"/>
      <c r="I1576" s="12"/>
      <c r="J1576" s="12"/>
      <c r="K1576" s="12"/>
      <c r="L1576" s="52"/>
    </row>
    <row r="1577" spans="1:12" ht="12.75">
      <c r="A1577" s="203" t="s">
        <v>937</v>
      </c>
      <c r="B1577" s="69"/>
      <c r="C1577" s="70"/>
      <c r="D1577" s="12"/>
      <c r="E1577" s="12"/>
      <c r="F1577" s="12"/>
      <c r="G1577" s="162"/>
      <c r="H1577" s="55"/>
      <c r="I1577" s="12"/>
      <c r="J1577" s="12"/>
      <c r="K1577" s="12"/>
      <c r="L1577" s="52"/>
    </row>
    <row r="1578" spans="1:12" ht="12.75">
      <c r="A1578" s="70" t="s">
        <v>326</v>
      </c>
      <c r="B1578" s="69"/>
      <c r="C1578" s="70"/>
      <c r="D1578" s="12"/>
      <c r="E1578" s="12"/>
      <c r="F1578" s="12"/>
      <c r="G1578" s="162"/>
      <c r="H1578" s="55"/>
      <c r="I1578" s="12"/>
      <c r="J1578" s="12"/>
      <c r="K1578" s="12"/>
      <c r="L1578" s="52"/>
    </row>
    <row r="1579" spans="1:12" ht="12.75">
      <c r="A1579" s="70" t="s">
        <v>327</v>
      </c>
      <c r="B1579" s="69"/>
      <c r="C1579" s="70"/>
      <c r="D1579" s="12"/>
      <c r="E1579" s="12"/>
      <c r="F1579" s="12"/>
      <c r="G1579" s="162"/>
      <c r="H1579" s="55"/>
      <c r="I1579" s="12"/>
      <c r="J1579" s="12"/>
      <c r="K1579" s="12"/>
      <c r="L1579" s="52"/>
    </row>
    <row r="1580" spans="1:16" ht="13.5" thickBot="1">
      <c r="A1580" s="24"/>
      <c r="B1580" s="357"/>
      <c r="C1580" s="49"/>
      <c r="D1580" s="49"/>
      <c r="E1580" s="49"/>
      <c r="F1580" s="49"/>
      <c r="G1580" s="269"/>
      <c r="H1580" s="267"/>
      <c r="I1580" s="49"/>
      <c r="J1580" s="49"/>
      <c r="K1580" s="49"/>
      <c r="L1580" s="51"/>
      <c r="M1580" s="399"/>
      <c r="N1580" s="437"/>
      <c r="O1580" s="399"/>
      <c r="P1580" s="131"/>
    </row>
    <row r="1581" spans="1:20" ht="13.5" thickBot="1">
      <c r="A1581" s="177" t="s">
        <v>44</v>
      </c>
      <c r="B1581" s="178"/>
      <c r="C1581" s="178"/>
      <c r="D1581" s="179"/>
      <c r="E1581" s="179"/>
      <c r="F1581" s="179"/>
      <c r="G1581" s="15" t="s">
        <v>23</v>
      </c>
      <c r="H1581" s="136"/>
      <c r="I1581" s="137" t="s">
        <v>395</v>
      </c>
      <c r="J1581" s="216"/>
      <c r="K1581" s="10" t="s">
        <v>25</v>
      </c>
      <c r="L1581" s="238" t="s">
        <v>645</v>
      </c>
      <c r="M1581" s="403" t="s">
        <v>296</v>
      </c>
      <c r="N1581" s="426" t="s">
        <v>684</v>
      </c>
      <c r="O1581" s="403" t="s">
        <v>296</v>
      </c>
      <c r="P1581" s="426" t="s">
        <v>683</v>
      </c>
      <c r="Q1581" s="403" t="s">
        <v>296</v>
      </c>
      <c r="R1581" s="426" t="s">
        <v>681</v>
      </c>
      <c r="S1581" s="403" t="s">
        <v>296</v>
      </c>
      <c r="T1581" s="421" t="s">
        <v>681</v>
      </c>
    </row>
    <row r="1582" spans="1:20" ht="16.5" thickTop="1">
      <c r="A1582" s="358" t="s">
        <v>219</v>
      </c>
      <c r="B1582" s="181" t="s">
        <v>1011</v>
      </c>
      <c r="C1582" s="182"/>
      <c r="D1582" s="12"/>
      <c r="E1582" s="12"/>
      <c r="F1582" s="12"/>
      <c r="G1582" s="11" t="s">
        <v>45</v>
      </c>
      <c r="H1582" s="32" t="s">
        <v>27</v>
      </c>
      <c r="I1582" s="6" t="s">
        <v>92</v>
      </c>
      <c r="J1582" s="108" t="s">
        <v>29</v>
      </c>
      <c r="K1582" s="33" t="s">
        <v>46</v>
      </c>
      <c r="L1582" s="208"/>
      <c r="M1582" s="25" t="s">
        <v>297</v>
      </c>
      <c r="N1582" s="425"/>
      <c r="O1582" s="25" t="s">
        <v>750</v>
      </c>
      <c r="P1582" s="547"/>
      <c r="Q1582" s="25" t="s">
        <v>896</v>
      </c>
      <c r="R1582" s="547"/>
      <c r="S1582" s="25" t="s">
        <v>957</v>
      </c>
      <c r="T1582" s="422"/>
    </row>
    <row r="1583" spans="1:20" ht="16.5" thickBot="1">
      <c r="A1583" s="183"/>
      <c r="B1583" s="359" t="s">
        <v>1012</v>
      </c>
      <c r="C1583" s="185"/>
      <c r="D1583" s="37"/>
      <c r="E1583" s="37"/>
      <c r="F1583" s="37"/>
      <c r="G1583" s="83"/>
      <c r="H1583" s="84">
        <v>38335</v>
      </c>
      <c r="I1583" s="148">
        <v>38587</v>
      </c>
      <c r="J1583" s="110" t="s">
        <v>31</v>
      </c>
      <c r="K1583" s="33" t="s">
        <v>32</v>
      </c>
      <c r="L1583" s="242"/>
      <c r="M1583" s="404"/>
      <c r="N1583" s="429"/>
      <c r="O1583" s="404"/>
      <c r="P1583" s="548"/>
      <c r="Q1583" s="404"/>
      <c r="R1583" s="548"/>
      <c r="S1583" s="404"/>
      <c r="T1583" s="423"/>
    </row>
    <row r="1584" spans="1:20" ht="13.5" thickBot="1">
      <c r="A1584" s="186" t="s">
        <v>47</v>
      </c>
      <c r="B1584" s="187"/>
      <c r="C1584" s="39"/>
      <c r="D1584" s="347" t="s">
        <v>48</v>
      </c>
      <c r="E1584" s="19"/>
      <c r="F1584" s="19"/>
      <c r="G1584" s="152">
        <v>1</v>
      </c>
      <c r="H1584" s="41">
        <v>2</v>
      </c>
      <c r="I1584" s="188">
        <v>3</v>
      </c>
      <c r="J1584" s="22">
        <v>4</v>
      </c>
      <c r="K1584" s="40">
        <v>1</v>
      </c>
      <c r="L1584" s="599">
        <v>1</v>
      </c>
      <c r="M1584" s="409"/>
      <c r="N1584" s="424"/>
      <c r="P1584" s="547"/>
      <c r="R1584" s="556"/>
      <c r="S1584" s="415"/>
      <c r="T1584" s="5"/>
    </row>
    <row r="1585" spans="1:22" s="28" customFormat="1" ht="15">
      <c r="A1585" s="457"/>
      <c r="B1585" s="372" t="s">
        <v>228</v>
      </c>
      <c r="C1585" s="372"/>
      <c r="D1585" s="373"/>
      <c r="E1585" s="373"/>
      <c r="F1585" s="373"/>
      <c r="G1585" s="371">
        <f aca="true" t="shared" si="247" ref="G1585:S1585">G1587</f>
        <v>125</v>
      </c>
      <c r="H1585" s="371">
        <f t="shared" si="247"/>
        <v>125</v>
      </c>
      <c r="I1585" s="371">
        <f t="shared" si="247"/>
        <v>225</v>
      </c>
      <c r="J1585" s="371">
        <f t="shared" si="247"/>
        <v>164</v>
      </c>
      <c r="K1585" s="371">
        <f t="shared" si="247"/>
        <v>220</v>
      </c>
      <c r="L1585" s="390">
        <f t="shared" si="247"/>
        <v>220</v>
      </c>
      <c r="M1585" s="445">
        <f t="shared" si="247"/>
        <v>41</v>
      </c>
      <c r="N1585" s="440">
        <f>SUM(M1585/L1585)*100</f>
        <v>18.636363636363637</v>
      </c>
      <c r="O1585" s="392">
        <f t="shared" si="247"/>
        <v>47</v>
      </c>
      <c r="P1585" s="567">
        <f>SUM(O1585/L1585)*100</f>
        <v>21.363636363636363</v>
      </c>
      <c r="Q1585" s="392">
        <f t="shared" si="247"/>
        <v>53</v>
      </c>
      <c r="R1585" s="567">
        <f>SUM(Q1585/L1585)*100</f>
        <v>24.09090909090909</v>
      </c>
      <c r="S1585" s="535">
        <f t="shared" si="247"/>
        <v>54</v>
      </c>
      <c r="T1585" s="570">
        <f>SUM(S1585/L1585)*100</f>
        <v>24.545454545454547</v>
      </c>
      <c r="U1585" s="783"/>
      <c r="V1585" s="783"/>
    </row>
    <row r="1586" spans="1:20" ht="12.75">
      <c r="A1586" s="327"/>
      <c r="B1586" s="12"/>
      <c r="C1586" s="12"/>
      <c r="D1586" s="12"/>
      <c r="E1586" s="12"/>
      <c r="F1586" s="12"/>
      <c r="G1586" s="53"/>
      <c r="H1586" s="14"/>
      <c r="I1586" s="14"/>
      <c r="J1586" s="14"/>
      <c r="K1586" s="14"/>
      <c r="L1586" s="26"/>
      <c r="N1586" s="425"/>
      <c r="P1586" s="547"/>
      <c r="R1586" s="547"/>
      <c r="S1586" s="416"/>
      <c r="T1586" s="13"/>
    </row>
    <row r="1587" spans="1:22" s="131" customFormat="1" ht="12.75">
      <c r="A1587" s="300">
        <v>642</v>
      </c>
      <c r="B1587" s="355" t="s">
        <v>1013</v>
      </c>
      <c r="C1587" s="49"/>
      <c r="D1587" s="24"/>
      <c r="E1587" s="24"/>
      <c r="F1587" s="24"/>
      <c r="G1587" s="66">
        <f aca="true" t="shared" si="248" ref="G1587:Q1587">SUM(G1589:G1590)</f>
        <v>125</v>
      </c>
      <c r="H1587" s="66">
        <f t="shared" si="248"/>
        <v>125</v>
      </c>
      <c r="I1587" s="66">
        <f t="shared" si="248"/>
        <v>225</v>
      </c>
      <c r="J1587" s="66">
        <f t="shared" si="248"/>
        <v>164</v>
      </c>
      <c r="K1587" s="66">
        <f t="shared" si="248"/>
        <v>220</v>
      </c>
      <c r="L1587" s="50">
        <f t="shared" si="248"/>
        <v>220</v>
      </c>
      <c r="M1587" s="199">
        <f t="shared" si="248"/>
        <v>41</v>
      </c>
      <c r="N1587" s="433">
        <f>SUM(M1587/L1587)*100</f>
        <v>18.636363636363637</v>
      </c>
      <c r="O1587" s="197">
        <f t="shared" si="248"/>
        <v>47</v>
      </c>
      <c r="P1587" s="433">
        <f>SUM(O1587/L1587)*100</f>
        <v>21.363636363636363</v>
      </c>
      <c r="Q1587" s="197">
        <f t="shared" si="248"/>
        <v>53</v>
      </c>
      <c r="R1587" s="433">
        <f>SUM(Q1587/L1587)*100</f>
        <v>24.09090909090909</v>
      </c>
      <c r="S1587" s="542">
        <v>54</v>
      </c>
      <c r="T1587" s="540">
        <f>SUM(S1587/L1587)*100</f>
        <v>24.545454545454547</v>
      </c>
      <c r="U1587" s="389"/>
      <c r="V1587" s="389"/>
    </row>
    <row r="1588" spans="1:20" ht="12.75">
      <c r="A1588" s="328">
        <v>642026</v>
      </c>
      <c r="B1588" s="329" t="s">
        <v>1009</v>
      </c>
      <c r="C1588" s="55"/>
      <c r="D1588" s="12"/>
      <c r="E1588" s="12"/>
      <c r="F1588" s="12"/>
      <c r="G1588" s="284"/>
      <c r="H1588" s="14"/>
      <c r="I1588" s="14"/>
      <c r="J1588" s="14"/>
      <c r="K1588" s="14"/>
      <c r="L1588" s="26"/>
      <c r="N1588" s="425"/>
      <c r="P1588" s="547"/>
      <c r="R1588" s="547"/>
      <c r="S1588" s="416"/>
      <c r="T1588" s="13"/>
    </row>
    <row r="1589" spans="1:20" ht="12.75">
      <c r="A1589" s="330"/>
      <c r="B1589" s="339" t="s">
        <v>1014</v>
      </c>
      <c r="C1589" s="70"/>
      <c r="D1589" s="12"/>
      <c r="E1589" s="12"/>
      <c r="F1589" s="12"/>
      <c r="G1589" s="284">
        <v>100</v>
      </c>
      <c r="H1589" s="14">
        <v>100</v>
      </c>
      <c r="I1589" s="14">
        <v>200</v>
      </c>
      <c r="J1589" s="14">
        <v>164</v>
      </c>
      <c r="K1589" s="14">
        <v>200</v>
      </c>
      <c r="L1589" s="26">
        <v>200</v>
      </c>
      <c r="M1589" s="31">
        <v>41</v>
      </c>
      <c r="N1589" s="430">
        <f>SUM(M1589/L1589)*100</f>
        <v>20.5</v>
      </c>
      <c r="O1589" s="31">
        <v>47</v>
      </c>
      <c r="P1589" s="430">
        <f>SUM(O1589/L1589)*100</f>
        <v>23.5</v>
      </c>
      <c r="Q1589" s="31">
        <v>53</v>
      </c>
      <c r="R1589" s="430">
        <f>SUM(Q1589/L1589)*100</f>
        <v>26.5</v>
      </c>
      <c r="S1589" s="416">
        <v>54</v>
      </c>
      <c r="T1589" s="537">
        <f>SUM(S1589/L1589)*100</f>
        <v>27</v>
      </c>
    </row>
    <row r="1590" spans="1:20" ht="13.5" thickBot="1">
      <c r="A1590" s="332"/>
      <c r="B1590" s="360" t="s">
        <v>1015</v>
      </c>
      <c r="C1590" s="213"/>
      <c r="D1590" s="19"/>
      <c r="E1590" s="19"/>
      <c r="F1590" s="19"/>
      <c r="G1590" s="296">
        <v>25</v>
      </c>
      <c r="H1590" s="21">
        <v>25</v>
      </c>
      <c r="I1590" s="21">
        <v>25</v>
      </c>
      <c r="J1590" s="21">
        <v>0</v>
      </c>
      <c r="K1590" s="21">
        <v>20</v>
      </c>
      <c r="L1590" s="27">
        <v>20</v>
      </c>
      <c r="M1590" s="411"/>
      <c r="N1590" s="429"/>
      <c r="O1590" s="411"/>
      <c r="P1590" s="548"/>
      <c r="Q1590" s="411"/>
      <c r="R1590" s="548"/>
      <c r="S1590" s="411"/>
      <c r="T1590" s="20"/>
    </row>
    <row r="1591" spans="1:12" ht="12.75">
      <c r="A1591" s="55"/>
      <c r="B1591" s="203"/>
      <c r="C1591" s="55"/>
      <c r="D1591" s="12"/>
      <c r="E1591" s="12"/>
      <c r="F1591" s="12"/>
      <c r="G1591" s="162"/>
      <c r="H1591" s="55"/>
      <c r="I1591" s="55"/>
      <c r="J1591" s="12"/>
      <c r="K1591" s="55"/>
      <c r="L1591" s="52"/>
    </row>
    <row r="1592" spans="1:12" ht="12.75">
      <c r="A1592" s="55" t="s">
        <v>328</v>
      </c>
      <c r="B1592" s="203"/>
      <c r="C1592" s="55"/>
      <c r="D1592" s="12"/>
      <c r="E1592" s="12"/>
      <c r="F1592" s="12"/>
      <c r="G1592" s="162"/>
      <c r="H1592" s="55"/>
      <c r="I1592" s="55"/>
      <c r="J1592" s="12"/>
      <c r="K1592" s="55"/>
      <c r="L1592" s="52"/>
    </row>
    <row r="1593" spans="1:22" s="131" customFormat="1" ht="12.75">
      <c r="A1593" s="24" t="s">
        <v>329</v>
      </c>
      <c r="B1593" s="70"/>
      <c r="C1593" s="24"/>
      <c r="D1593" s="24"/>
      <c r="E1593" s="24"/>
      <c r="F1593" s="24"/>
      <c r="G1593" s="158"/>
      <c r="H1593" s="24"/>
      <c r="I1593" s="24"/>
      <c r="J1593" s="24"/>
      <c r="K1593" s="24"/>
      <c r="L1593" s="91"/>
      <c r="M1593" s="389"/>
      <c r="N1593" s="681"/>
      <c r="O1593" s="389"/>
      <c r="Q1593" s="389"/>
      <c r="S1593" s="389"/>
      <c r="U1593" s="389"/>
      <c r="V1593" s="389"/>
    </row>
    <row r="1594" spans="1:12" ht="12.75">
      <c r="A1594" s="55"/>
      <c r="B1594" s="203"/>
      <c r="C1594" s="55"/>
      <c r="D1594" s="12"/>
      <c r="E1594" s="12"/>
      <c r="F1594" s="12"/>
      <c r="G1594" s="162"/>
      <c r="H1594" s="55"/>
      <c r="I1594" s="55"/>
      <c r="J1594" s="12"/>
      <c r="K1594" s="55"/>
      <c r="L1594" s="52"/>
    </row>
    <row r="1595" spans="1:12" ht="12.75">
      <c r="A1595" s="55"/>
      <c r="B1595" s="203"/>
      <c r="C1595" s="55"/>
      <c r="D1595" s="12"/>
      <c r="E1595" s="12"/>
      <c r="F1595" s="12"/>
      <c r="G1595" s="162"/>
      <c r="H1595" s="55"/>
      <c r="I1595" s="55"/>
      <c r="J1595" s="12"/>
      <c r="K1595" s="55"/>
      <c r="L1595" s="52"/>
    </row>
    <row r="1596" spans="1:18" ht="13.5" thickBot="1">
      <c r="A1596" s="55"/>
      <c r="B1596" s="55"/>
      <c r="C1596" s="55"/>
      <c r="D1596" s="12"/>
      <c r="E1596" s="12"/>
      <c r="F1596" s="12"/>
      <c r="G1596" s="162"/>
      <c r="I1596" s="12"/>
      <c r="J1596" s="12"/>
      <c r="K1596" s="12"/>
      <c r="Q1596" s="389"/>
      <c r="R1596" s="131"/>
    </row>
    <row r="1597" spans="1:20" ht="13.5" thickBot="1">
      <c r="A1597" s="177" t="s">
        <v>44</v>
      </c>
      <c r="B1597" s="178"/>
      <c r="C1597" s="178"/>
      <c r="D1597" s="179"/>
      <c r="E1597" s="179"/>
      <c r="F1597" s="179"/>
      <c r="G1597" s="15" t="s">
        <v>23</v>
      </c>
      <c r="H1597" s="136"/>
      <c r="I1597" s="137" t="s">
        <v>395</v>
      </c>
      <c r="J1597" s="216"/>
      <c r="K1597" s="10" t="s">
        <v>25</v>
      </c>
      <c r="L1597" s="238" t="s">
        <v>645</v>
      </c>
      <c r="M1597" s="403" t="s">
        <v>296</v>
      </c>
      <c r="N1597" s="426" t="s">
        <v>684</v>
      </c>
      <c r="O1597" s="403" t="s">
        <v>296</v>
      </c>
      <c r="P1597" s="426" t="s">
        <v>683</v>
      </c>
      <c r="Q1597" s="403" t="s">
        <v>296</v>
      </c>
      <c r="R1597" s="426" t="s">
        <v>681</v>
      </c>
      <c r="S1597" s="403" t="s">
        <v>296</v>
      </c>
      <c r="T1597" s="421" t="s">
        <v>681</v>
      </c>
    </row>
    <row r="1598" spans="1:20" ht="16.5" thickTop="1">
      <c r="A1598" s="358" t="s">
        <v>221</v>
      </c>
      <c r="B1598" s="181" t="s">
        <v>1016</v>
      </c>
      <c r="C1598" s="182"/>
      <c r="D1598" s="12"/>
      <c r="E1598" s="12"/>
      <c r="F1598" s="12"/>
      <c r="G1598" s="11" t="s">
        <v>45</v>
      </c>
      <c r="H1598" s="32" t="s">
        <v>27</v>
      </c>
      <c r="I1598" s="6" t="s">
        <v>92</v>
      </c>
      <c r="J1598" s="108" t="s">
        <v>29</v>
      </c>
      <c r="K1598" s="33" t="s">
        <v>46</v>
      </c>
      <c r="L1598" s="208"/>
      <c r="M1598" s="25" t="s">
        <v>297</v>
      </c>
      <c r="N1598" s="425"/>
      <c r="O1598" s="25" t="s">
        <v>750</v>
      </c>
      <c r="P1598" s="547"/>
      <c r="Q1598" s="25" t="s">
        <v>896</v>
      </c>
      <c r="R1598" s="547"/>
      <c r="S1598" s="25" t="s">
        <v>957</v>
      </c>
      <c r="T1598" s="422"/>
    </row>
    <row r="1599" spans="1:20" ht="16.5" thickBot="1">
      <c r="A1599" s="183"/>
      <c r="B1599" s="359" t="s">
        <v>1012</v>
      </c>
      <c r="C1599" s="185"/>
      <c r="D1599" s="37"/>
      <c r="E1599" s="37"/>
      <c r="F1599" s="37"/>
      <c r="G1599" s="83"/>
      <c r="H1599" s="84">
        <v>38335</v>
      </c>
      <c r="I1599" s="148">
        <v>38587</v>
      </c>
      <c r="J1599" s="110" t="s">
        <v>31</v>
      </c>
      <c r="K1599" s="33" t="s">
        <v>32</v>
      </c>
      <c r="L1599" s="242"/>
      <c r="M1599" s="404"/>
      <c r="N1599" s="429"/>
      <c r="O1599" s="404"/>
      <c r="P1599" s="548"/>
      <c r="Q1599" s="404"/>
      <c r="R1599" s="548"/>
      <c r="S1599" s="404"/>
      <c r="T1599" s="423"/>
    </row>
    <row r="1600" spans="1:20" ht="13.5" thickBot="1">
      <c r="A1600" s="186" t="s">
        <v>47</v>
      </c>
      <c r="B1600" s="187"/>
      <c r="C1600" s="39"/>
      <c r="D1600" s="347" t="s">
        <v>48</v>
      </c>
      <c r="E1600" s="19"/>
      <c r="F1600" s="19"/>
      <c r="G1600" s="152">
        <v>1</v>
      </c>
      <c r="H1600" s="41">
        <v>2</v>
      </c>
      <c r="I1600" s="188">
        <v>3</v>
      </c>
      <c r="J1600" s="22">
        <v>4</v>
      </c>
      <c r="K1600" s="40">
        <v>1</v>
      </c>
      <c r="L1600" s="599">
        <v>1</v>
      </c>
      <c r="M1600" s="409"/>
      <c r="N1600" s="424"/>
      <c r="P1600" s="547"/>
      <c r="R1600" s="556"/>
      <c r="T1600" s="556"/>
    </row>
    <row r="1601" spans="1:22" s="28" customFormat="1" ht="15">
      <c r="A1601" s="445"/>
      <c r="B1601" s="449" t="s">
        <v>228</v>
      </c>
      <c r="C1601" s="372"/>
      <c r="D1601" s="373"/>
      <c r="E1601" s="373"/>
      <c r="F1601" s="373"/>
      <c r="G1601" s="371">
        <f aca="true" t="shared" si="249" ref="G1601:S1601">G1606+G1610</f>
        <v>364</v>
      </c>
      <c r="H1601" s="371">
        <f t="shared" si="249"/>
        <v>455</v>
      </c>
      <c r="I1601" s="371">
        <f t="shared" si="249"/>
        <v>455</v>
      </c>
      <c r="J1601" s="371">
        <f t="shared" si="249"/>
        <v>5</v>
      </c>
      <c r="K1601" s="371">
        <f t="shared" si="249"/>
        <v>185</v>
      </c>
      <c r="L1601" s="390">
        <f>L1603+L1606+L1610+L1619</f>
        <v>1610</v>
      </c>
      <c r="M1601" s="445">
        <f t="shared" si="249"/>
        <v>38</v>
      </c>
      <c r="N1601" s="440">
        <f>SUM(M1601/L1601)*100</f>
        <v>2.360248447204969</v>
      </c>
      <c r="O1601" s="392">
        <f t="shared" si="249"/>
        <v>85</v>
      </c>
      <c r="P1601" s="567">
        <f>SUM(O1601/L1601)*100</f>
        <v>5.279503105590062</v>
      </c>
      <c r="Q1601" s="392">
        <f t="shared" si="249"/>
        <v>86</v>
      </c>
      <c r="R1601" s="567">
        <f>SUM(Q1601/L1601)*100</f>
        <v>5.341614906832298</v>
      </c>
      <c r="S1601" s="392">
        <f t="shared" si="249"/>
        <v>86</v>
      </c>
      <c r="T1601" s="567">
        <f>SUM(S1601/L1601)*100</f>
        <v>5.341614906832298</v>
      </c>
      <c r="U1601" s="783"/>
      <c r="V1601" s="783"/>
    </row>
    <row r="1602" spans="1:22" s="109" customFormat="1" ht="12.75">
      <c r="A1602" s="394"/>
      <c r="B1602" s="395" t="s">
        <v>37</v>
      </c>
      <c r="C1602" s="237"/>
      <c r="D1602" s="237"/>
      <c r="E1602" s="237"/>
      <c r="F1602" s="237"/>
      <c r="G1602" s="301"/>
      <c r="H1602" s="196"/>
      <c r="I1602" s="196"/>
      <c r="J1602" s="196"/>
      <c r="K1602" s="196"/>
      <c r="L1602" s="375">
        <f>SUM(L1603+L1606+L1610)</f>
        <v>1400</v>
      </c>
      <c r="M1602" s="121"/>
      <c r="N1602" s="431"/>
      <c r="O1602" s="121"/>
      <c r="P1602" s="550"/>
      <c r="Q1602" s="121"/>
      <c r="R1602" s="550"/>
      <c r="S1602" s="121"/>
      <c r="T1602" s="550"/>
      <c r="U1602" s="121"/>
      <c r="V1602" s="121"/>
    </row>
    <row r="1603" spans="1:22" s="109" customFormat="1" ht="12.75">
      <c r="A1603" s="394">
        <v>633001</v>
      </c>
      <c r="B1603" s="395" t="s">
        <v>249</v>
      </c>
      <c r="C1603" s="237"/>
      <c r="D1603" s="237"/>
      <c r="E1603" s="237"/>
      <c r="F1603" s="237"/>
      <c r="G1603" s="301"/>
      <c r="H1603" s="196"/>
      <c r="I1603" s="196"/>
      <c r="J1603" s="196"/>
      <c r="K1603" s="196"/>
      <c r="L1603" s="50">
        <v>122</v>
      </c>
      <c r="M1603" s="399"/>
      <c r="N1603" s="433"/>
      <c r="O1603" s="399"/>
      <c r="P1603" s="552"/>
      <c r="Q1603" s="399"/>
      <c r="R1603" s="552"/>
      <c r="S1603" s="399">
        <v>0</v>
      </c>
      <c r="T1603" s="552"/>
      <c r="U1603" s="121"/>
      <c r="V1603" s="121"/>
    </row>
    <row r="1604" spans="1:20" ht="12.75">
      <c r="A1604" s="11"/>
      <c r="B1604" s="294" t="s">
        <v>948</v>
      </c>
      <c r="C1604" s="12"/>
      <c r="D1604" s="12"/>
      <c r="E1604" s="12"/>
      <c r="F1604" s="12"/>
      <c r="G1604" s="284"/>
      <c r="H1604" s="14"/>
      <c r="I1604" s="14"/>
      <c r="J1604" s="14"/>
      <c r="K1604" s="14"/>
      <c r="L1604" s="26">
        <v>122</v>
      </c>
      <c r="N1604" s="425"/>
      <c r="P1604" s="547"/>
      <c r="R1604" s="547"/>
      <c r="S1604" s="31">
        <v>0</v>
      </c>
      <c r="T1604" s="547"/>
    </row>
    <row r="1605" spans="1:20" ht="12.75">
      <c r="A1605" s="11"/>
      <c r="B1605" s="294"/>
      <c r="C1605" s="12"/>
      <c r="D1605" s="12"/>
      <c r="E1605" s="12"/>
      <c r="F1605" s="12"/>
      <c r="G1605" s="284"/>
      <c r="H1605" s="14"/>
      <c r="I1605" s="14"/>
      <c r="J1605" s="14"/>
      <c r="K1605" s="14"/>
      <c r="L1605" s="26"/>
      <c r="N1605" s="425"/>
      <c r="P1605" s="547"/>
      <c r="R1605" s="547"/>
      <c r="T1605" s="547"/>
    </row>
    <row r="1606" spans="1:20" ht="12.75">
      <c r="A1606" s="199">
        <v>637</v>
      </c>
      <c r="B1606" s="291" t="s">
        <v>288</v>
      </c>
      <c r="C1606" s="49"/>
      <c r="D1606" s="12"/>
      <c r="E1606" s="12"/>
      <c r="F1606" s="12"/>
      <c r="G1606" s="198">
        <f aca="true" t="shared" si="250" ref="G1606:O1606">SUM(G1607:G1608)</f>
        <v>26</v>
      </c>
      <c r="H1606" s="66">
        <f t="shared" si="250"/>
        <v>20</v>
      </c>
      <c r="I1606" s="66">
        <f t="shared" si="250"/>
        <v>20</v>
      </c>
      <c r="J1606" s="66">
        <f t="shared" si="250"/>
        <v>5</v>
      </c>
      <c r="K1606" s="66">
        <f t="shared" si="250"/>
        <v>50</v>
      </c>
      <c r="L1606" s="50">
        <f t="shared" si="250"/>
        <v>120</v>
      </c>
      <c r="M1606" s="199">
        <f t="shared" si="250"/>
        <v>33</v>
      </c>
      <c r="N1606" s="433">
        <f>SUM(M1606/L1606)*100</f>
        <v>27.500000000000004</v>
      </c>
      <c r="O1606" s="197">
        <f t="shared" si="250"/>
        <v>80</v>
      </c>
      <c r="P1606" s="433">
        <f>SUM(O1606/L1606)*100</f>
        <v>66.66666666666666</v>
      </c>
      <c r="Q1606" s="399">
        <v>80</v>
      </c>
      <c r="R1606" s="433">
        <f>SUM(Q1606/L1606)*100</f>
        <v>66.66666666666666</v>
      </c>
      <c r="S1606" s="399">
        <v>80</v>
      </c>
      <c r="T1606" s="433">
        <f>SUM(S1606/L1606)*100</f>
        <v>66.66666666666666</v>
      </c>
    </row>
    <row r="1607" spans="1:20" ht="12.75">
      <c r="A1607" s="23">
        <v>637005</v>
      </c>
      <c r="B1607" s="292" t="s">
        <v>1017</v>
      </c>
      <c r="C1607" s="24"/>
      <c r="D1607" s="24"/>
      <c r="E1607" s="24"/>
      <c r="F1607" s="24"/>
      <c r="G1607" s="284">
        <v>23</v>
      </c>
      <c r="H1607" s="14">
        <v>20</v>
      </c>
      <c r="I1607" s="14">
        <v>20</v>
      </c>
      <c r="J1607" s="14">
        <v>5</v>
      </c>
      <c r="K1607" s="14">
        <v>50</v>
      </c>
      <c r="L1607" s="26">
        <v>120</v>
      </c>
      <c r="M1607" s="31">
        <v>33</v>
      </c>
      <c r="N1607" s="430">
        <f>SUM(M1607/L1607)*100</f>
        <v>27.500000000000004</v>
      </c>
      <c r="O1607" s="31">
        <v>80</v>
      </c>
      <c r="P1607" s="430">
        <f>SUM(O1607/L1607)*100</f>
        <v>66.66666666666666</v>
      </c>
      <c r="Q1607" s="31">
        <v>80</v>
      </c>
      <c r="R1607" s="430">
        <f>SUM(Q1607/L1607)*100</f>
        <v>66.66666666666666</v>
      </c>
      <c r="S1607" s="31">
        <v>80</v>
      </c>
      <c r="T1607" s="430">
        <f>SUM(S1607/L1607)*100</f>
        <v>66.66666666666666</v>
      </c>
    </row>
    <row r="1608" spans="1:20" ht="12.75">
      <c r="A1608" s="23">
        <v>637027</v>
      </c>
      <c r="B1608" s="292" t="s">
        <v>1018</v>
      </c>
      <c r="C1608" s="24"/>
      <c r="D1608" s="24"/>
      <c r="E1608" s="24"/>
      <c r="F1608" s="24"/>
      <c r="G1608" s="284">
        <v>3</v>
      </c>
      <c r="H1608" s="14">
        <v>0</v>
      </c>
      <c r="I1608" s="14">
        <v>0</v>
      </c>
      <c r="J1608" s="14">
        <v>0</v>
      </c>
      <c r="K1608" s="14">
        <v>0</v>
      </c>
      <c r="L1608" s="26">
        <v>0</v>
      </c>
      <c r="N1608" s="425"/>
      <c r="P1608" s="547"/>
      <c r="R1608" s="547"/>
      <c r="T1608" s="547"/>
    </row>
    <row r="1609" spans="1:20" ht="12.75">
      <c r="A1609" s="93"/>
      <c r="B1609" s="293"/>
      <c r="C1609" s="55"/>
      <c r="D1609" s="12"/>
      <c r="E1609" s="12"/>
      <c r="F1609" s="12"/>
      <c r="G1609" s="284"/>
      <c r="H1609" s="14"/>
      <c r="I1609" s="14"/>
      <c r="J1609" s="14"/>
      <c r="K1609" s="14"/>
      <c r="L1609" s="26"/>
      <c r="N1609" s="425"/>
      <c r="P1609" s="547"/>
      <c r="R1609" s="547"/>
      <c r="T1609" s="547"/>
    </row>
    <row r="1610" spans="1:20" ht="12.75">
      <c r="A1610" s="199">
        <v>641</v>
      </c>
      <c r="B1610" s="291" t="s">
        <v>949</v>
      </c>
      <c r="C1610" s="49"/>
      <c r="D1610" s="49"/>
      <c r="E1610" s="49"/>
      <c r="F1610" s="49"/>
      <c r="G1610" s="288">
        <f>SUM(G1611)</f>
        <v>338</v>
      </c>
      <c r="H1610" s="66">
        <f aca="true" t="shared" si="251" ref="H1610:S1610">H1611</f>
        <v>435</v>
      </c>
      <c r="I1610" s="66">
        <f t="shared" si="251"/>
        <v>435</v>
      </c>
      <c r="J1610" s="66">
        <f t="shared" si="251"/>
        <v>0</v>
      </c>
      <c r="K1610" s="66">
        <f t="shared" si="251"/>
        <v>135</v>
      </c>
      <c r="L1610" s="50">
        <f t="shared" si="251"/>
        <v>1158</v>
      </c>
      <c r="M1610" s="199">
        <f t="shared" si="251"/>
        <v>5</v>
      </c>
      <c r="N1610" s="433">
        <f>SUM(M1610/L1610)*100</f>
        <v>0.4317789291882556</v>
      </c>
      <c r="O1610" s="197">
        <f t="shared" si="251"/>
        <v>5</v>
      </c>
      <c r="P1610" s="433">
        <f>SUM(O1610/L1610)*100</f>
        <v>0.4317789291882556</v>
      </c>
      <c r="Q1610" s="197">
        <f t="shared" si="251"/>
        <v>6</v>
      </c>
      <c r="R1610" s="433">
        <f>SUM(Q1610/L1610)*100</f>
        <v>0.5181347150259068</v>
      </c>
      <c r="S1610" s="197">
        <f t="shared" si="251"/>
        <v>6</v>
      </c>
      <c r="T1610" s="433">
        <f>SUM(S1610/L1610)*100</f>
        <v>0.5181347150259068</v>
      </c>
    </row>
    <row r="1611" spans="1:20" ht="12.75">
      <c r="A1611" s="23">
        <v>641001</v>
      </c>
      <c r="B1611" s="292" t="s">
        <v>949</v>
      </c>
      <c r="C1611" s="24"/>
      <c r="D1611" s="24"/>
      <c r="E1611" s="24"/>
      <c r="F1611" s="24"/>
      <c r="G1611" s="284">
        <f aca="true" t="shared" si="252" ref="G1611:S1611">SUM(G1612:G1614)</f>
        <v>338</v>
      </c>
      <c r="H1611" s="14">
        <f t="shared" si="252"/>
        <v>435</v>
      </c>
      <c r="I1611" s="14">
        <f t="shared" si="252"/>
        <v>435</v>
      </c>
      <c r="J1611" s="14">
        <f t="shared" si="252"/>
        <v>0</v>
      </c>
      <c r="K1611" s="14">
        <f t="shared" si="252"/>
        <v>135</v>
      </c>
      <c r="L1611" s="26">
        <f>SUM(L1612:L1617)</f>
        <v>1158</v>
      </c>
      <c r="M1611" s="11">
        <f t="shared" si="252"/>
        <v>5</v>
      </c>
      <c r="N1611" s="430">
        <f>SUM(M1611/L1611)*100</f>
        <v>0.4317789291882556</v>
      </c>
      <c r="O1611" s="25">
        <f t="shared" si="252"/>
        <v>5</v>
      </c>
      <c r="P1611" s="430">
        <f>SUM(O1611/L1611)*100</f>
        <v>0.4317789291882556</v>
      </c>
      <c r="Q1611" s="25">
        <f t="shared" si="252"/>
        <v>6</v>
      </c>
      <c r="R1611" s="430">
        <f>SUM(Q1611/L1611)*100</f>
        <v>0.5181347150259068</v>
      </c>
      <c r="S1611" s="25">
        <f t="shared" si="252"/>
        <v>6</v>
      </c>
      <c r="T1611" s="430">
        <f>SUM(S1611/L1611)*100</f>
        <v>0.5181347150259068</v>
      </c>
    </row>
    <row r="1612" spans="1:20" ht="12.75">
      <c r="A1612" s="93"/>
      <c r="B1612" s="293" t="s">
        <v>1019</v>
      </c>
      <c r="C1612" s="55"/>
      <c r="D1612" s="12"/>
      <c r="E1612" s="12"/>
      <c r="F1612" s="12"/>
      <c r="G1612" s="311">
        <v>90</v>
      </c>
      <c r="H1612" s="67">
        <v>120</v>
      </c>
      <c r="I1612" s="67">
        <v>120</v>
      </c>
      <c r="J1612" s="67">
        <v>0</v>
      </c>
      <c r="K1612" s="67">
        <v>120</v>
      </c>
      <c r="L1612" s="94">
        <v>60</v>
      </c>
      <c r="M1612" s="397">
        <v>5</v>
      </c>
      <c r="N1612" s="434">
        <f>SUM(M1612/L1612)*100</f>
        <v>8.333333333333332</v>
      </c>
      <c r="O1612" s="562">
        <v>5</v>
      </c>
      <c r="P1612" s="563">
        <f>SUM(O1612/L1612)*100</f>
        <v>8.333333333333332</v>
      </c>
      <c r="Q1612" s="562">
        <v>5</v>
      </c>
      <c r="R1612" s="563">
        <f>SUM(Q1612/L1612)*100</f>
        <v>8.333333333333332</v>
      </c>
      <c r="S1612" s="562">
        <v>6</v>
      </c>
      <c r="T1612" s="563">
        <f>SUM(S1612/L1612)*100</f>
        <v>10</v>
      </c>
    </row>
    <row r="1613" spans="1:20" ht="12.75">
      <c r="A1613" s="328"/>
      <c r="B1613" s="293" t="s">
        <v>1020</v>
      </c>
      <c r="C1613" s="55"/>
      <c r="D1613" s="12"/>
      <c r="E1613" s="12"/>
      <c r="F1613" s="12"/>
      <c r="G1613" s="311">
        <v>14</v>
      </c>
      <c r="H1613" s="67">
        <v>15</v>
      </c>
      <c r="I1613" s="67">
        <v>15</v>
      </c>
      <c r="J1613" s="67">
        <v>0</v>
      </c>
      <c r="K1613" s="67">
        <v>15</v>
      </c>
      <c r="L1613" s="94">
        <v>15</v>
      </c>
      <c r="M1613" s="397"/>
      <c r="N1613" s="434"/>
      <c r="O1613" s="562"/>
      <c r="P1613" s="565"/>
      <c r="Q1613" s="562"/>
      <c r="R1613" s="565"/>
      <c r="S1613" s="562"/>
      <c r="T1613" s="554"/>
    </row>
    <row r="1614" spans="1:20" ht="12.75">
      <c r="A1614" s="328"/>
      <c r="B1614" s="293" t="s">
        <v>809</v>
      </c>
      <c r="C1614" s="55"/>
      <c r="D1614" s="12"/>
      <c r="E1614" s="12"/>
      <c r="F1614" s="12"/>
      <c r="G1614" s="311">
        <v>234</v>
      </c>
      <c r="H1614" s="67">
        <v>300</v>
      </c>
      <c r="I1614" s="67">
        <v>300</v>
      </c>
      <c r="J1614" s="67">
        <v>0</v>
      </c>
      <c r="K1614" s="90">
        <v>0</v>
      </c>
      <c r="L1614" s="94">
        <v>315</v>
      </c>
      <c r="M1614" s="649"/>
      <c r="N1614" s="434"/>
      <c r="O1614" s="573"/>
      <c r="P1614" s="565"/>
      <c r="Q1614" s="562">
        <v>1</v>
      </c>
      <c r="R1614" s="563">
        <f>SUM(Q1614/L1614)*100</f>
        <v>0.31746031746031744</v>
      </c>
      <c r="S1614" s="562"/>
      <c r="T1614" s="563"/>
    </row>
    <row r="1615" spans="1:22" s="12" customFormat="1" ht="12.75">
      <c r="A1615" s="328"/>
      <c r="B1615" s="293" t="s">
        <v>950</v>
      </c>
      <c r="C1615" s="55"/>
      <c r="G1615" s="312"/>
      <c r="H1615" s="70"/>
      <c r="I1615" s="70"/>
      <c r="J1615" s="70"/>
      <c r="K1615" s="70"/>
      <c r="L1615" s="94">
        <v>60</v>
      </c>
      <c r="M1615" s="57"/>
      <c r="N1615" s="434"/>
      <c r="O1615" s="201"/>
      <c r="P1615" s="632"/>
      <c r="Q1615" s="573"/>
      <c r="R1615" s="565"/>
      <c r="S1615" s="201"/>
      <c r="T1615" s="554"/>
      <c r="U1615" s="52"/>
      <c r="V1615" s="52"/>
    </row>
    <row r="1616" spans="1:22" s="12" customFormat="1" ht="12.75">
      <c r="A1616" s="328"/>
      <c r="B1616" s="293" t="s">
        <v>951</v>
      </c>
      <c r="C1616" s="55"/>
      <c r="G1616" s="312"/>
      <c r="H1616" s="70"/>
      <c r="I1616" s="70"/>
      <c r="J1616" s="70"/>
      <c r="K1616" s="70"/>
      <c r="L1616" s="94">
        <v>213</v>
      </c>
      <c r="M1616" s="57"/>
      <c r="N1616" s="427"/>
      <c r="O1616" s="201"/>
      <c r="P1616" s="203"/>
      <c r="Q1616" s="201"/>
      <c r="R1616" s="565"/>
      <c r="S1616" s="201"/>
      <c r="T1616" s="554"/>
      <c r="U1616" s="52"/>
      <c r="V1616" s="52"/>
    </row>
    <row r="1617" spans="1:22" s="12" customFormat="1" ht="12.75">
      <c r="A1617" s="328"/>
      <c r="B1617" s="293" t="s">
        <v>952</v>
      </c>
      <c r="C1617" s="55"/>
      <c r="G1617" s="312"/>
      <c r="H1617" s="70"/>
      <c r="I1617" s="70"/>
      <c r="J1617" s="70"/>
      <c r="K1617" s="70"/>
      <c r="L1617" s="94">
        <v>495</v>
      </c>
      <c r="M1617" s="57"/>
      <c r="N1617" s="427"/>
      <c r="O1617" s="201"/>
      <c r="P1617" s="203"/>
      <c r="Q1617" s="201"/>
      <c r="R1617" s="565"/>
      <c r="S1617" s="201"/>
      <c r="T1617" s="554"/>
      <c r="U1617" s="52"/>
      <c r="V1617" s="52"/>
    </row>
    <row r="1618" spans="1:22" s="12" customFormat="1" ht="12.75">
      <c r="A1618" s="328"/>
      <c r="B1618" s="55"/>
      <c r="C1618" s="55"/>
      <c r="G1618" s="312"/>
      <c r="H1618" s="70"/>
      <c r="I1618" s="70"/>
      <c r="J1618" s="70"/>
      <c r="K1618" s="70"/>
      <c r="L1618" s="94"/>
      <c r="M1618" s="57"/>
      <c r="N1618" s="427"/>
      <c r="O1618" s="201"/>
      <c r="P1618" s="203"/>
      <c r="Q1618" s="201"/>
      <c r="R1618" s="565"/>
      <c r="S1618" s="59"/>
      <c r="T1618" s="547"/>
      <c r="U1618" s="52"/>
      <c r="V1618" s="52"/>
    </row>
    <row r="1619" spans="1:22" s="49" customFormat="1" ht="12.75">
      <c r="A1619" s="300">
        <v>717002</v>
      </c>
      <c r="B1619" s="49" t="s">
        <v>953</v>
      </c>
      <c r="G1619" s="674"/>
      <c r="H1619" s="539"/>
      <c r="I1619" s="539"/>
      <c r="J1619" s="539"/>
      <c r="K1619" s="539"/>
      <c r="L1619" s="675">
        <v>210</v>
      </c>
      <c r="M1619" s="51"/>
      <c r="N1619" s="592"/>
      <c r="O1619" s="676"/>
      <c r="P1619" s="539"/>
      <c r="Q1619" s="676"/>
      <c r="R1619" s="650"/>
      <c r="S1619" s="676">
        <v>0</v>
      </c>
      <c r="T1619" s="552"/>
      <c r="U1619" s="51"/>
      <c r="V1619" s="51"/>
    </row>
    <row r="1620" spans="1:22" s="24" customFormat="1" ht="13.5" thickBot="1">
      <c r="A1620" s="677"/>
      <c r="B1620" s="24" t="s">
        <v>954</v>
      </c>
      <c r="G1620" s="312"/>
      <c r="H1620" s="70"/>
      <c r="I1620" s="70"/>
      <c r="J1620" s="70"/>
      <c r="K1620" s="70"/>
      <c r="L1620" s="76">
        <v>210</v>
      </c>
      <c r="M1620" s="631"/>
      <c r="N1620" s="597"/>
      <c r="O1620" s="75"/>
      <c r="P1620" s="77"/>
      <c r="Q1620" s="75"/>
      <c r="R1620" s="651"/>
      <c r="S1620" s="458"/>
      <c r="T1620" s="559"/>
      <c r="U1620" s="91"/>
      <c r="V1620" s="91"/>
    </row>
    <row r="1621" spans="1:16" ht="12.75">
      <c r="A1621" s="4"/>
      <c r="B1621" s="500"/>
      <c r="C1621" s="4"/>
      <c r="D1621" s="4"/>
      <c r="E1621" s="4"/>
      <c r="F1621" s="4"/>
      <c r="G1621" s="488"/>
      <c r="H1621" s="500"/>
      <c r="I1621" s="4"/>
      <c r="J1621" s="4"/>
      <c r="K1621" s="4"/>
      <c r="L1621" s="52"/>
      <c r="M1621" s="52"/>
      <c r="N1621" s="428"/>
      <c r="O1621" s="52"/>
      <c r="P1621" s="12"/>
    </row>
    <row r="1622" spans="1:16" ht="12.75">
      <c r="A1622" s="12" t="s">
        <v>330</v>
      </c>
      <c r="B1622" s="55"/>
      <c r="C1622" s="12"/>
      <c r="D1622" s="12"/>
      <c r="E1622" s="12"/>
      <c r="F1622" s="12"/>
      <c r="G1622" s="162"/>
      <c r="H1622" s="55"/>
      <c r="I1622" s="12"/>
      <c r="J1622" s="12"/>
      <c r="K1622" s="12"/>
      <c r="L1622" s="52"/>
      <c r="M1622" s="52"/>
      <c r="N1622" s="428"/>
      <c r="O1622" s="52"/>
      <c r="P1622" s="12"/>
    </row>
    <row r="1623" spans="1:16" ht="12.75">
      <c r="A1623" s="12" t="s">
        <v>331</v>
      </c>
      <c r="B1623" s="55"/>
      <c r="C1623" s="12"/>
      <c r="D1623" s="12"/>
      <c r="E1623" s="12"/>
      <c r="F1623" s="12"/>
      <c r="G1623" s="162"/>
      <c r="H1623" s="55"/>
      <c r="I1623" s="12"/>
      <c r="J1623" s="12"/>
      <c r="K1623" s="12"/>
      <c r="L1623" s="52"/>
      <c r="M1623" s="52"/>
      <c r="N1623" s="428"/>
      <c r="O1623" s="52"/>
      <c r="P1623" s="12"/>
    </row>
    <row r="1624" spans="1:16" ht="12.75">
      <c r="A1624" s="12" t="s">
        <v>332</v>
      </c>
      <c r="B1624" s="55"/>
      <c r="C1624" s="12"/>
      <c r="D1624" s="12"/>
      <c r="E1624" s="12"/>
      <c r="F1624" s="12"/>
      <c r="G1624" s="162"/>
      <c r="H1624" s="55"/>
      <c r="I1624" s="12"/>
      <c r="J1624" s="12"/>
      <c r="K1624" s="12"/>
      <c r="L1624" s="52"/>
      <c r="M1624" s="52"/>
      <c r="N1624" s="428"/>
      <c r="O1624" s="52"/>
      <c r="P1624" s="12"/>
    </row>
    <row r="1625" spans="1:16" ht="12.75">
      <c r="A1625" s="12" t="s">
        <v>333</v>
      </c>
      <c r="B1625" s="55"/>
      <c r="C1625" s="12"/>
      <c r="D1625" s="12"/>
      <c r="E1625" s="12"/>
      <c r="F1625" s="12"/>
      <c r="G1625" s="162"/>
      <c r="H1625" s="55"/>
      <c r="I1625" s="12"/>
      <c r="J1625" s="12"/>
      <c r="K1625" s="12"/>
      <c r="L1625" s="52"/>
      <c r="M1625" s="52"/>
      <c r="N1625" s="428"/>
      <c r="O1625" s="52"/>
      <c r="P1625" s="12"/>
    </row>
    <row r="1626" spans="1:16" ht="12.75">
      <c r="A1626" s="12" t="s">
        <v>334</v>
      </c>
      <c r="B1626" s="55"/>
      <c r="C1626" s="12"/>
      <c r="D1626" s="12"/>
      <c r="E1626" s="12"/>
      <c r="F1626" s="12"/>
      <c r="G1626" s="162"/>
      <c r="H1626" s="55"/>
      <c r="I1626" s="12"/>
      <c r="J1626" s="12"/>
      <c r="K1626" s="12"/>
      <c r="L1626" s="52"/>
      <c r="M1626" s="52"/>
      <c r="N1626" s="428"/>
      <c r="O1626" s="52"/>
      <c r="P1626" s="12"/>
    </row>
    <row r="1627" spans="1:16" ht="12.75">
      <c r="A1627" s="12" t="s">
        <v>335</v>
      </c>
      <c r="B1627" s="55"/>
      <c r="C1627" s="12"/>
      <c r="D1627" s="12"/>
      <c r="E1627" s="12"/>
      <c r="F1627" s="12"/>
      <c r="G1627" s="162"/>
      <c r="H1627" s="55"/>
      <c r="I1627" s="12"/>
      <c r="J1627" s="12"/>
      <c r="K1627" s="12"/>
      <c r="L1627" s="52"/>
      <c r="M1627" s="52"/>
      <c r="N1627" s="428"/>
      <c r="O1627" s="52"/>
      <c r="P1627" s="12"/>
    </row>
    <row r="1628" spans="1:16" ht="12.75">
      <c r="A1628" s="12"/>
      <c r="B1628" s="55"/>
      <c r="C1628" s="12"/>
      <c r="D1628" s="12"/>
      <c r="E1628" s="12"/>
      <c r="F1628" s="12"/>
      <c r="G1628" s="162"/>
      <c r="H1628" s="55"/>
      <c r="I1628" s="12"/>
      <c r="J1628" s="12"/>
      <c r="K1628" s="12"/>
      <c r="L1628" s="52"/>
      <c r="M1628" s="52"/>
      <c r="N1628" s="428"/>
      <c r="O1628" s="52"/>
      <c r="P1628" s="12"/>
    </row>
    <row r="1629" spans="1:16" ht="12.75">
      <c r="A1629" s="12"/>
      <c r="B1629" s="55"/>
      <c r="C1629" s="12"/>
      <c r="D1629" s="12"/>
      <c r="E1629" s="12"/>
      <c r="F1629" s="12"/>
      <c r="G1629" s="162"/>
      <c r="H1629" s="55"/>
      <c r="I1629" s="12"/>
      <c r="J1629" s="12"/>
      <c r="K1629" s="12"/>
      <c r="L1629" s="52"/>
      <c r="M1629" s="52"/>
      <c r="N1629" s="428"/>
      <c r="O1629" s="52"/>
      <c r="P1629" s="12"/>
    </row>
    <row r="1630" spans="1:16" ht="12.75">
      <c r="A1630" s="12"/>
      <c r="B1630" s="55"/>
      <c r="C1630" s="12"/>
      <c r="D1630" s="12"/>
      <c r="E1630" s="12"/>
      <c r="F1630" s="12"/>
      <c r="G1630" s="162"/>
      <c r="H1630" s="55"/>
      <c r="I1630" s="12"/>
      <c r="J1630" s="12"/>
      <c r="K1630" s="12"/>
      <c r="L1630" s="52"/>
      <c r="M1630" s="52"/>
      <c r="N1630" s="428"/>
      <c r="O1630" s="52"/>
      <c r="P1630" s="12"/>
    </row>
    <row r="1631" spans="1:16" ht="12.75">
      <c r="A1631" s="12"/>
      <c r="B1631" s="55"/>
      <c r="C1631" s="12"/>
      <c r="D1631" s="12"/>
      <c r="E1631" s="12"/>
      <c r="F1631" s="12"/>
      <c r="G1631" s="162"/>
      <c r="H1631" s="55"/>
      <c r="I1631" s="12"/>
      <c r="J1631" s="12"/>
      <c r="K1631" s="12"/>
      <c r="L1631" s="52"/>
      <c r="M1631" s="52"/>
      <c r="N1631" s="428"/>
      <c r="O1631" s="52"/>
      <c r="P1631" s="12"/>
    </row>
    <row r="1632" spans="7:11" ht="13.5" thickBot="1">
      <c r="G1632" s="162"/>
      <c r="I1632" s="12"/>
      <c r="J1632" s="12"/>
      <c r="K1632" s="12"/>
    </row>
    <row r="1633" spans="1:20" ht="13.5" thickBot="1">
      <c r="A1633" s="177" t="s">
        <v>44</v>
      </c>
      <c r="B1633" s="178"/>
      <c r="C1633" s="178"/>
      <c r="D1633" s="179"/>
      <c r="E1633" s="179"/>
      <c r="F1633" s="179"/>
      <c r="G1633" s="15" t="s">
        <v>23</v>
      </c>
      <c r="H1633" s="136"/>
      <c r="I1633" s="137" t="s">
        <v>395</v>
      </c>
      <c r="J1633" s="216"/>
      <c r="K1633" s="10" t="s">
        <v>25</v>
      </c>
      <c r="L1633" s="238" t="s">
        <v>645</v>
      </c>
      <c r="M1633" s="403" t="s">
        <v>296</v>
      </c>
      <c r="N1633" s="426" t="s">
        <v>684</v>
      </c>
      <c r="O1633" s="403" t="s">
        <v>296</v>
      </c>
      <c r="P1633" s="426" t="s">
        <v>683</v>
      </c>
      <c r="Q1633" s="403" t="s">
        <v>296</v>
      </c>
      <c r="R1633" s="426" t="s">
        <v>681</v>
      </c>
      <c r="S1633" s="403" t="s">
        <v>296</v>
      </c>
      <c r="T1633" s="421" t="s">
        <v>681</v>
      </c>
    </row>
    <row r="1634" spans="1:20" ht="16.5" thickTop="1">
      <c r="A1634" s="180" t="s">
        <v>210</v>
      </c>
      <c r="B1634" s="181" t="s">
        <v>0</v>
      </c>
      <c r="C1634" s="182"/>
      <c r="D1634" s="12"/>
      <c r="E1634" s="12"/>
      <c r="F1634" s="12"/>
      <c r="G1634" s="11" t="s">
        <v>45</v>
      </c>
      <c r="H1634" s="32" t="s">
        <v>27</v>
      </c>
      <c r="I1634" s="6" t="s">
        <v>92</v>
      </c>
      <c r="J1634" s="108" t="s">
        <v>29</v>
      </c>
      <c r="K1634" s="33" t="s">
        <v>46</v>
      </c>
      <c r="L1634" s="208"/>
      <c r="M1634" s="25" t="s">
        <v>297</v>
      </c>
      <c r="N1634" s="425"/>
      <c r="O1634" s="25" t="s">
        <v>750</v>
      </c>
      <c r="P1634" s="547"/>
      <c r="Q1634" s="25" t="s">
        <v>896</v>
      </c>
      <c r="R1634" s="547"/>
      <c r="S1634" s="25" t="s">
        <v>957</v>
      </c>
      <c r="T1634" s="422"/>
    </row>
    <row r="1635" spans="1:20" ht="13.5" thickBot="1">
      <c r="A1635" s="183"/>
      <c r="B1635" s="184"/>
      <c r="C1635" s="185"/>
      <c r="D1635" s="37"/>
      <c r="E1635" s="37"/>
      <c r="F1635" s="37"/>
      <c r="G1635" s="83"/>
      <c r="H1635" s="84">
        <v>38335</v>
      </c>
      <c r="I1635" s="148">
        <v>38587</v>
      </c>
      <c r="J1635" s="110" t="s">
        <v>31</v>
      </c>
      <c r="K1635" s="33" t="s">
        <v>32</v>
      </c>
      <c r="L1635" s="242"/>
      <c r="M1635" s="404"/>
      <c r="N1635" s="429"/>
      <c r="O1635" s="404"/>
      <c r="P1635" s="548"/>
      <c r="Q1635" s="404"/>
      <c r="R1635" s="548"/>
      <c r="S1635" s="404"/>
      <c r="T1635" s="423"/>
    </row>
    <row r="1636" spans="1:20" ht="13.5" thickBot="1">
      <c r="A1636" s="186" t="s">
        <v>47</v>
      </c>
      <c r="B1636" s="187"/>
      <c r="C1636" s="39"/>
      <c r="D1636" s="347" t="s">
        <v>48</v>
      </c>
      <c r="E1636" s="19"/>
      <c r="F1636" s="19"/>
      <c r="G1636" s="152">
        <v>1</v>
      </c>
      <c r="H1636" s="41">
        <v>2</v>
      </c>
      <c r="I1636" s="188">
        <v>3</v>
      </c>
      <c r="J1636" s="22">
        <v>4</v>
      </c>
      <c r="K1636" s="40">
        <v>1</v>
      </c>
      <c r="L1636" s="599">
        <v>1</v>
      </c>
      <c r="M1636" s="409"/>
      <c r="N1636" s="424"/>
      <c r="P1636" s="547"/>
      <c r="R1636" s="556"/>
      <c r="T1636" s="547"/>
    </row>
    <row r="1637" spans="1:20" ht="15">
      <c r="A1637" s="371"/>
      <c r="B1637" s="445" t="s">
        <v>228</v>
      </c>
      <c r="C1637" s="372"/>
      <c r="D1637" s="373"/>
      <c r="E1637" s="373"/>
      <c r="F1637" s="373"/>
      <c r="G1637" s="390" t="e">
        <f>SUM(G1639:G1641)+#REF!</f>
        <v>#REF!</v>
      </c>
      <c r="H1637" s="390" t="e">
        <f>SUM(H1639:H1641)+#REF!</f>
        <v>#REF!</v>
      </c>
      <c r="I1637" s="390" t="e">
        <f>SUM(I1639:I1641)+#REF!</f>
        <v>#REF!</v>
      </c>
      <c r="J1637" s="390" t="e">
        <f>SUM(J1639:J1641)+#REF!</f>
        <v>#REF!</v>
      </c>
      <c r="K1637" s="390" t="e">
        <f>SUM(K1639:K1641)+#REF!</f>
        <v>#REF!</v>
      </c>
      <c r="L1637" s="390">
        <f>SUM(L1639+L1641+L1659)</f>
        <v>15857</v>
      </c>
      <c r="M1637" s="390" t="e">
        <f>SUM(M1639:M1641)</f>
        <v>#REF!</v>
      </c>
      <c r="N1637" s="440" t="e">
        <f>SUM(M1637/L1637)*100</f>
        <v>#REF!</v>
      </c>
      <c r="O1637" s="392" t="e">
        <f>SUM(O1639:O1641)</f>
        <v>#REF!</v>
      </c>
      <c r="P1637" s="567" t="e">
        <f>SUM(O1637/L1637)*100</f>
        <v>#REF!</v>
      </c>
      <c r="Q1637" s="392" t="e">
        <f>SUM(Q1639:Q1641)</f>
        <v>#REF!</v>
      </c>
      <c r="R1637" s="567" t="e">
        <f>SUM(Q1637/L1637)*100</f>
        <v>#REF!</v>
      </c>
      <c r="S1637" s="535">
        <f>SUM(S1639+S1641+S1659)</f>
        <v>7650</v>
      </c>
      <c r="T1637" s="570">
        <f>SUM(S1637/L1637)*100</f>
        <v>48.243677870971815</v>
      </c>
    </row>
    <row r="1638" spans="1:20" ht="12.75">
      <c r="A1638" s="301"/>
      <c r="B1638" s="282" t="s">
        <v>956</v>
      </c>
      <c r="C1638" s="161"/>
      <c r="D1638" s="162"/>
      <c r="E1638" s="162"/>
      <c r="F1638" s="162"/>
      <c r="G1638" s="321"/>
      <c r="H1638" s="321"/>
      <c r="I1638" s="321"/>
      <c r="J1638" s="321"/>
      <c r="K1638" s="14"/>
      <c r="L1638" s="375">
        <f>SUM(L1639+L1641)</f>
        <v>15592</v>
      </c>
      <c r="M1638" s="121"/>
      <c r="N1638" s="431"/>
      <c r="O1638" s="121"/>
      <c r="P1638" s="550"/>
      <c r="Q1638" s="121"/>
      <c r="R1638" s="550"/>
      <c r="S1638" s="546">
        <f>SUM(S1639+S1641)</f>
        <v>7650</v>
      </c>
      <c r="T1638" s="431">
        <f>SUM(S1638/L1638)*100</f>
        <v>49.06362237044638</v>
      </c>
    </row>
    <row r="1639" spans="1:20" ht="15">
      <c r="A1639" s="361">
        <v>600</v>
      </c>
      <c r="B1639" s="246" t="s">
        <v>1</v>
      </c>
      <c r="C1639" s="362"/>
      <c r="D1639" s="362"/>
      <c r="E1639" s="362"/>
      <c r="F1639" s="362"/>
      <c r="G1639" s="284">
        <f>5314+1832+7018</f>
        <v>14164</v>
      </c>
      <c r="H1639" s="26">
        <f>7042+6854</f>
        <v>13896</v>
      </c>
      <c r="I1639" s="26">
        <f>7042+6854-23</f>
        <v>13873</v>
      </c>
      <c r="J1639" s="26">
        <v>6713</v>
      </c>
      <c r="K1639" s="26">
        <v>13873</v>
      </c>
      <c r="L1639" s="375">
        <v>14841</v>
      </c>
      <c r="M1639" s="121"/>
      <c r="N1639" s="431"/>
      <c r="P1639" s="547"/>
      <c r="R1639" s="547"/>
      <c r="S1639" s="121">
        <v>7325</v>
      </c>
      <c r="T1639" s="431">
        <f>SUM(S1639/L1639)*100</f>
        <v>49.35651236439593</v>
      </c>
    </row>
    <row r="1640" spans="1:20" ht="15">
      <c r="A1640" s="361"/>
      <c r="B1640" s="246"/>
      <c r="C1640" s="362"/>
      <c r="D1640" s="362"/>
      <c r="E1640" s="362"/>
      <c r="F1640" s="362"/>
      <c r="G1640" s="284"/>
      <c r="H1640" s="26"/>
      <c r="I1640" s="26"/>
      <c r="J1640" s="26"/>
      <c r="K1640" s="26"/>
      <c r="L1640" s="26"/>
      <c r="N1640" s="425"/>
      <c r="P1640" s="547"/>
      <c r="R1640" s="547"/>
      <c r="T1640" s="547"/>
    </row>
    <row r="1641" spans="1:20" ht="15">
      <c r="A1641" s="361">
        <v>600</v>
      </c>
      <c r="B1641" s="246" t="s">
        <v>2</v>
      </c>
      <c r="C1641" s="362"/>
      <c r="D1641" s="362"/>
      <c r="E1641" s="362"/>
      <c r="F1641" s="362"/>
      <c r="G1641" s="321" t="e">
        <f>G1643+G1645+#REF!+#REF!+G1653</f>
        <v>#REF!</v>
      </c>
      <c r="H1641" s="321" t="e">
        <f>H1643+H1645+#REF!+#REF!+H1653</f>
        <v>#REF!</v>
      </c>
      <c r="I1641" s="321" t="e">
        <f>I1643+I1645+#REF!+#REF!+I1653</f>
        <v>#REF!</v>
      </c>
      <c r="J1641" s="321" t="e">
        <f>J1643+J1645+#REF!+#REF!+J1653</f>
        <v>#REF!</v>
      </c>
      <c r="K1641" s="321" t="e">
        <f>K1643+K1645+#REF!+#REF!+K1653</f>
        <v>#REF!</v>
      </c>
      <c r="L1641" s="321">
        <f>L1643+L1645+L1647+L1650+L1653</f>
        <v>751</v>
      </c>
      <c r="M1641" s="418" t="e">
        <f>M1643+M1645+#REF!+#REF!+M1653</f>
        <v>#REF!</v>
      </c>
      <c r="N1641" s="431" t="e">
        <f>SUM(M1641/L1641)*100</f>
        <v>#REF!</v>
      </c>
      <c r="O1641" s="418" t="e">
        <f>O1643+O1645+#REF!+#REF!+O1653</f>
        <v>#REF!</v>
      </c>
      <c r="P1641" s="431" t="e">
        <f>SUM(O1641/L1641)*100</f>
        <v>#REF!</v>
      </c>
      <c r="Q1641" s="321" t="e">
        <f>Q1643+Q1645+Q1647+Q1650+#REF!+Q1653</f>
        <v>#REF!</v>
      </c>
      <c r="R1641" s="431" t="e">
        <f>SUM(Q1641/L1641)*100</f>
        <v>#REF!</v>
      </c>
      <c r="S1641" s="719">
        <f>S1643+S1645+S1647+S1650+S1653</f>
        <v>325</v>
      </c>
      <c r="T1641" s="493">
        <f>SUM(S1641/L1641)*100</f>
        <v>43.275632490013315</v>
      </c>
    </row>
    <row r="1642" spans="1:20" ht="12.75">
      <c r="A1642" s="14"/>
      <c r="B1642" s="11"/>
      <c r="C1642" s="12"/>
      <c r="D1642" s="12"/>
      <c r="E1642" s="12"/>
      <c r="F1642" s="12"/>
      <c r="G1642" s="284"/>
      <c r="H1642" s="14"/>
      <c r="I1642" s="14"/>
      <c r="J1642" s="14"/>
      <c r="K1642" s="14"/>
      <c r="L1642" s="26"/>
      <c r="N1642" s="425"/>
      <c r="P1642" s="547"/>
      <c r="R1642" s="547"/>
      <c r="T1642" s="547"/>
    </row>
    <row r="1643" spans="1:20" ht="12.75">
      <c r="A1643" s="66">
        <v>610</v>
      </c>
      <c r="B1643" s="199" t="s">
        <v>3</v>
      </c>
      <c r="C1643" s="49"/>
      <c r="D1643" s="12"/>
      <c r="E1643" s="12"/>
      <c r="F1643" s="12"/>
      <c r="G1643" s="198">
        <v>52</v>
      </c>
      <c r="H1643" s="66">
        <v>60</v>
      </c>
      <c r="I1643" s="66">
        <v>60</v>
      </c>
      <c r="J1643" s="66">
        <v>22</v>
      </c>
      <c r="K1643" s="66">
        <v>65</v>
      </c>
      <c r="L1643" s="50">
        <v>85</v>
      </c>
      <c r="M1643" s="399">
        <v>12</v>
      </c>
      <c r="N1643" s="433">
        <f>SUM(M1643/L1643)*100</f>
        <v>14.117647058823529</v>
      </c>
      <c r="O1643" s="399">
        <v>18</v>
      </c>
      <c r="P1643" s="433">
        <f>SUM(O1643/L1643)*100</f>
        <v>21.176470588235293</v>
      </c>
      <c r="Q1643" s="399">
        <v>31</v>
      </c>
      <c r="R1643" s="433">
        <f>SUM(Q1643/L1643)*100</f>
        <v>36.470588235294116</v>
      </c>
      <c r="S1643" s="399">
        <v>32</v>
      </c>
      <c r="T1643" s="433">
        <f>SUM(S1643/L1643)*100</f>
        <v>37.64705882352941</v>
      </c>
    </row>
    <row r="1644" spans="1:20" ht="12.75">
      <c r="A1644" s="14"/>
      <c r="B1644" s="11"/>
      <c r="C1644" s="12"/>
      <c r="D1644" s="12"/>
      <c r="E1644" s="12"/>
      <c r="F1644" s="12"/>
      <c r="G1644" s="284"/>
      <c r="H1644" s="14"/>
      <c r="I1644" s="14"/>
      <c r="J1644" s="14"/>
      <c r="K1644" s="66"/>
      <c r="L1644" s="50"/>
      <c r="N1644" s="425"/>
      <c r="P1644" s="547"/>
      <c r="R1644" s="547"/>
      <c r="T1644" s="547"/>
    </row>
    <row r="1645" spans="1:20" ht="12.75">
      <c r="A1645" s="66">
        <v>620</v>
      </c>
      <c r="B1645" s="199" t="s">
        <v>4</v>
      </c>
      <c r="C1645" s="49"/>
      <c r="D1645" s="12"/>
      <c r="E1645" s="12"/>
      <c r="F1645" s="12"/>
      <c r="G1645" s="288">
        <v>18</v>
      </c>
      <c r="H1645" s="288">
        <v>24</v>
      </c>
      <c r="I1645" s="288">
        <v>24</v>
      </c>
      <c r="J1645" s="288">
        <v>8</v>
      </c>
      <c r="K1645" s="66">
        <v>26</v>
      </c>
      <c r="L1645" s="50">
        <v>33</v>
      </c>
      <c r="M1645" s="399">
        <v>4</v>
      </c>
      <c r="N1645" s="433">
        <f>SUM(M1645/L1645)*100</f>
        <v>12.121212121212121</v>
      </c>
      <c r="O1645" s="399">
        <v>7</v>
      </c>
      <c r="P1645" s="433">
        <f>SUM(O1645/L1645)*100</f>
        <v>21.21212121212121</v>
      </c>
      <c r="Q1645" s="399">
        <v>11</v>
      </c>
      <c r="R1645" s="433">
        <f>SUM(Q1645/L1645)*100</f>
        <v>33.33333333333333</v>
      </c>
      <c r="S1645" s="399">
        <v>11</v>
      </c>
      <c r="T1645" s="433">
        <f>SUM(S1645/L1645)*100</f>
        <v>33.33333333333333</v>
      </c>
    </row>
    <row r="1646" spans="1:20" ht="12.75">
      <c r="A1646" s="14"/>
      <c r="B1646" s="11"/>
      <c r="C1646" s="12"/>
      <c r="D1646" s="12"/>
      <c r="E1646" s="12"/>
      <c r="F1646" s="12"/>
      <c r="G1646" s="284"/>
      <c r="H1646" s="14"/>
      <c r="I1646" s="14"/>
      <c r="J1646" s="14"/>
      <c r="K1646" s="14"/>
      <c r="L1646" s="26"/>
      <c r="N1646" s="425"/>
      <c r="P1646" s="547"/>
      <c r="R1646" s="547"/>
      <c r="T1646" s="547"/>
    </row>
    <row r="1647" spans="1:22" s="130" customFormat="1" ht="12.75">
      <c r="A1647" s="66">
        <v>633</v>
      </c>
      <c r="B1647" s="199" t="s">
        <v>245</v>
      </c>
      <c r="C1647" s="49"/>
      <c r="D1647" s="49"/>
      <c r="E1647" s="49"/>
      <c r="F1647" s="49"/>
      <c r="G1647" s="302"/>
      <c r="H1647" s="66"/>
      <c r="I1647" s="66"/>
      <c r="J1647" s="66"/>
      <c r="K1647" s="66"/>
      <c r="L1647" s="50">
        <f>SUM(L1648)</f>
        <v>100</v>
      </c>
      <c r="M1647" s="399"/>
      <c r="N1647" s="433"/>
      <c r="O1647" s="399"/>
      <c r="P1647" s="552"/>
      <c r="Q1647" s="399">
        <v>33</v>
      </c>
      <c r="R1647" s="433">
        <f>SUM(Q1647/L1647)*100</f>
        <v>33</v>
      </c>
      <c r="S1647" s="399">
        <v>33</v>
      </c>
      <c r="T1647" s="433">
        <f>SUM(S1647/L1647)*100</f>
        <v>33</v>
      </c>
      <c r="U1647" s="399"/>
      <c r="V1647" s="399"/>
    </row>
    <row r="1648" spans="1:20" ht="12.75">
      <c r="A1648" s="14">
        <v>633200</v>
      </c>
      <c r="B1648" s="11" t="s">
        <v>810</v>
      </c>
      <c r="C1648" s="12"/>
      <c r="D1648" s="12"/>
      <c r="E1648" s="12"/>
      <c r="F1648" s="12"/>
      <c r="G1648" s="284"/>
      <c r="H1648" s="14"/>
      <c r="I1648" s="14"/>
      <c r="J1648" s="14"/>
      <c r="K1648" s="14"/>
      <c r="L1648" s="26">
        <v>100</v>
      </c>
      <c r="N1648" s="425"/>
      <c r="P1648" s="547"/>
      <c r="Q1648" s="31">
        <v>33</v>
      </c>
      <c r="R1648" s="430">
        <f>SUM(Q1648/L1648)*100</f>
        <v>33</v>
      </c>
      <c r="S1648" s="31">
        <v>33</v>
      </c>
      <c r="T1648" s="430">
        <f>SUM(S1648/L1648)*100</f>
        <v>33</v>
      </c>
    </row>
    <row r="1649" spans="1:20" ht="12.75">
      <c r="A1649" s="14"/>
      <c r="B1649" s="11"/>
      <c r="C1649" s="12"/>
      <c r="D1649" s="12"/>
      <c r="E1649" s="12"/>
      <c r="F1649" s="12"/>
      <c r="G1649" s="284"/>
      <c r="H1649" s="14"/>
      <c r="I1649" s="14"/>
      <c r="J1649" s="14"/>
      <c r="K1649" s="14"/>
      <c r="L1649" s="26"/>
      <c r="N1649" s="425"/>
      <c r="P1649" s="547"/>
      <c r="R1649" s="547"/>
      <c r="T1649" s="547"/>
    </row>
    <row r="1650" spans="1:22" s="130" customFormat="1" ht="12.75">
      <c r="A1650" s="66">
        <v>634</v>
      </c>
      <c r="B1650" s="199" t="s">
        <v>269</v>
      </c>
      <c r="C1650" s="49"/>
      <c r="D1650" s="49"/>
      <c r="E1650" s="49"/>
      <c r="F1650" s="49"/>
      <c r="G1650" s="302"/>
      <c r="H1650" s="66"/>
      <c r="I1650" s="66"/>
      <c r="J1650" s="66"/>
      <c r="K1650" s="66"/>
      <c r="L1650" s="50">
        <v>80</v>
      </c>
      <c r="M1650" s="399"/>
      <c r="N1650" s="433"/>
      <c r="O1650" s="399"/>
      <c r="P1650" s="552"/>
      <c r="Q1650" s="399">
        <v>40</v>
      </c>
      <c r="R1650" s="433">
        <f>SUM(Q1650/L1650)*100</f>
        <v>50</v>
      </c>
      <c r="S1650" s="399">
        <v>45</v>
      </c>
      <c r="T1650" s="433">
        <f>SUM(S1650/L1650)*100</f>
        <v>56.25</v>
      </c>
      <c r="U1650" s="399"/>
      <c r="V1650" s="399"/>
    </row>
    <row r="1651" spans="1:20" ht="12.75">
      <c r="A1651" s="14">
        <v>634004</v>
      </c>
      <c r="B1651" s="11" t="s">
        <v>811</v>
      </c>
      <c r="C1651" s="12"/>
      <c r="D1651" s="12"/>
      <c r="E1651" s="12"/>
      <c r="F1651" s="12"/>
      <c r="G1651" s="284"/>
      <c r="H1651" s="14"/>
      <c r="I1651" s="14"/>
      <c r="J1651" s="14"/>
      <c r="K1651" s="14"/>
      <c r="L1651" s="26">
        <v>80</v>
      </c>
      <c r="N1651" s="425"/>
      <c r="P1651" s="547"/>
      <c r="Q1651" s="31">
        <v>40</v>
      </c>
      <c r="R1651" s="430">
        <f>SUM(Q1651/L1651)*100</f>
        <v>50</v>
      </c>
      <c r="S1651" s="31">
        <v>45</v>
      </c>
      <c r="T1651" s="430">
        <f>SUM(S1651/L1651)*100</f>
        <v>56.25</v>
      </c>
    </row>
    <row r="1652" spans="1:20" ht="12.75">
      <c r="A1652" s="14"/>
      <c r="B1652" s="11"/>
      <c r="C1652" s="12"/>
      <c r="D1652" s="12"/>
      <c r="E1652" s="12"/>
      <c r="F1652" s="12"/>
      <c r="G1652" s="284"/>
      <c r="H1652" s="14"/>
      <c r="I1652" s="14"/>
      <c r="J1652" s="14"/>
      <c r="K1652" s="14"/>
      <c r="L1652" s="26"/>
      <c r="N1652" s="425"/>
      <c r="P1652" s="547"/>
      <c r="R1652" s="547"/>
      <c r="T1652" s="547"/>
    </row>
    <row r="1653" spans="1:20" ht="12.75">
      <c r="A1653" s="66">
        <v>642</v>
      </c>
      <c r="B1653" s="199" t="s">
        <v>5</v>
      </c>
      <c r="C1653" s="49"/>
      <c r="D1653" s="12"/>
      <c r="E1653" s="12"/>
      <c r="F1653" s="12"/>
      <c r="G1653" s="193">
        <f>SUM(G1654:G1657)</f>
        <v>266</v>
      </c>
      <c r="H1653" s="193">
        <f>SUM(H1654:H1657)</f>
        <v>453</v>
      </c>
      <c r="I1653" s="193">
        <f>SUM(I1654:I1657)</f>
        <v>453</v>
      </c>
      <c r="J1653" s="193">
        <f>SUM(J1654:J1657)</f>
        <v>211</v>
      </c>
      <c r="K1653" s="193">
        <f>SUM(K1654:K1657)</f>
        <v>503</v>
      </c>
      <c r="L1653" s="50">
        <f>SUM(L1654+L1655)</f>
        <v>453</v>
      </c>
      <c r="M1653" s="399" t="e">
        <f>SUM(#REF!+M1654+M1655)</f>
        <v>#REF!</v>
      </c>
      <c r="N1653" s="433" t="e">
        <f>SUM(M1653/L1653)*100</f>
        <v>#REF!</v>
      </c>
      <c r="O1653" s="399" t="e">
        <f>SUM(#REF!+O1654+O1655)</f>
        <v>#REF!</v>
      </c>
      <c r="P1653" s="433" t="e">
        <f>SUM(O1653/L1653)*100</f>
        <v>#REF!</v>
      </c>
      <c r="Q1653" s="197" t="e">
        <f>SUM(#REF!+Q1654+Q1655)</f>
        <v>#REF!</v>
      </c>
      <c r="R1653" s="433" t="e">
        <f>SUM(Q1653/L1653)*100</f>
        <v>#REF!</v>
      </c>
      <c r="S1653" s="542">
        <f>SUM(S1654+S1655)</f>
        <v>204</v>
      </c>
      <c r="T1653" s="540">
        <f>SUM(S1653/L1653)*100</f>
        <v>45.033112582781456</v>
      </c>
    </row>
    <row r="1654" spans="1:20" ht="12.75">
      <c r="A1654" s="71">
        <v>642015</v>
      </c>
      <c r="B1654" s="23" t="s">
        <v>418</v>
      </c>
      <c r="C1654" s="24"/>
      <c r="D1654" s="12"/>
      <c r="E1654" s="12"/>
      <c r="F1654" s="12"/>
      <c r="G1654" s="284">
        <v>0</v>
      </c>
      <c r="H1654" s="14">
        <v>3</v>
      </c>
      <c r="I1654" s="14">
        <v>3</v>
      </c>
      <c r="J1654" s="14">
        <v>0</v>
      </c>
      <c r="K1654" s="14">
        <v>3</v>
      </c>
      <c r="L1654" s="26">
        <v>3</v>
      </c>
      <c r="N1654" s="425"/>
      <c r="P1654" s="547"/>
      <c r="R1654" s="547"/>
      <c r="T1654" s="547"/>
    </row>
    <row r="1655" spans="1:20" ht="12.75">
      <c r="A1655" s="71">
        <v>642026</v>
      </c>
      <c r="B1655" s="23" t="s">
        <v>6</v>
      </c>
      <c r="C1655" s="55"/>
      <c r="D1655" s="12"/>
      <c r="E1655" s="12"/>
      <c r="F1655" s="12"/>
      <c r="G1655" s="284"/>
      <c r="H1655" s="14"/>
      <c r="I1655" s="14"/>
      <c r="J1655" s="14"/>
      <c r="K1655" s="14"/>
      <c r="L1655" s="26">
        <f>SUM(L1656+L1657)</f>
        <v>450</v>
      </c>
      <c r="M1655" s="31">
        <f>SUM(M1656+M1657)</f>
        <v>89</v>
      </c>
      <c r="N1655" s="425"/>
      <c r="O1655" s="31">
        <f>SUM(O1656+O1657)</f>
        <v>135</v>
      </c>
      <c r="P1655" s="547"/>
      <c r="Q1655" s="31">
        <f>SUM(Q1656+Q1657)</f>
        <v>181</v>
      </c>
      <c r="R1655" s="430">
        <f>SUM(Q1655/L1655)*100</f>
        <v>40.22222222222222</v>
      </c>
      <c r="S1655" s="31">
        <f>SUM(S1656+S1657)</f>
        <v>204</v>
      </c>
      <c r="T1655" s="430">
        <f>SUM(S1655/L1655)*100</f>
        <v>45.33333333333333</v>
      </c>
    </row>
    <row r="1656" spans="1:20" ht="12.75">
      <c r="A1656" s="67"/>
      <c r="B1656" s="72" t="s">
        <v>7</v>
      </c>
      <c r="C1656" s="70"/>
      <c r="D1656" s="12"/>
      <c r="E1656" s="12"/>
      <c r="F1656" s="12"/>
      <c r="G1656" s="284">
        <v>216</v>
      </c>
      <c r="H1656" s="14">
        <v>400</v>
      </c>
      <c r="I1656" s="14">
        <v>400</v>
      </c>
      <c r="J1656" s="14">
        <v>161</v>
      </c>
      <c r="K1656" s="14">
        <v>400</v>
      </c>
      <c r="L1656" s="26">
        <v>400</v>
      </c>
      <c r="M1656" s="31">
        <v>73</v>
      </c>
      <c r="N1656" s="430">
        <f>SUM(M1656/L1656)*100</f>
        <v>18.25</v>
      </c>
      <c r="O1656" s="31">
        <v>113</v>
      </c>
      <c r="P1656" s="430">
        <f>SUM(O1656/L1656)*100</f>
        <v>28.249999999999996</v>
      </c>
      <c r="Q1656" s="31">
        <v>153</v>
      </c>
      <c r="R1656" s="430">
        <f>SUM(Q1656/L1656)*100</f>
        <v>38.25</v>
      </c>
      <c r="S1656" s="31">
        <v>172</v>
      </c>
      <c r="T1656" s="430">
        <f>SUM(S1656/L1656)*100</f>
        <v>43</v>
      </c>
    </row>
    <row r="1657" spans="1:20" ht="12.75">
      <c r="A1657" s="53"/>
      <c r="B1657" s="72" t="s">
        <v>8</v>
      </c>
      <c r="C1657" s="55"/>
      <c r="D1657" s="12"/>
      <c r="E1657" s="12"/>
      <c r="F1657" s="12"/>
      <c r="G1657" s="284">
        <v>50</v>
      </c>
      <c r="H1657" s="14">
        <v>50</v>
      </c>
      <c r="I1657" s="14">
        <v>50</v>
      </c>
      <c r="J1657" s="14">
        <v>50</v>
      </c>
      <c r="K1657" s="14">
        <v>100</v>
      </c>
      <c r="L1657" s="26">
        <v>50</v>
      </c>
      <c r="M1657" s="31">
        <v>16</v>
      </c>
      <c r="N1657" s="430">
        <f>SUM(M1657/L1657)*100</f>
        <v>32</v>
      </c>
      <c r="O1657" s="31">
        <v>22</v>
      </c>
      <c r="P1657" s="430">
        <f>SUM(O1657/L1657)*100</f>
        <v>44</v>
      </c>
      <c r="Q1657" s="31">
        <v>28</v>
      </c>
      <c r="R1657" s="430">
        <f>SUM(Q1657/L1657)*100</f>
        <v>56.00000000000001</v>
      </c>
      <c r="S1657" s="31">
        <v>32</v>
      </c>
      <c r="T1657" s="430">
        <f>SUM(S1657/L1657)*100</f>
        <v>64</v>
      </c>
    </row>
    <row r="1658" spans="1:20" ht="12.75">
      <c r="A1658" s="53"/>
      <c r="B1658" s="72"/>
      <c r="C1658" s="55"/>
      <c r="D1658" s="12"/>
      <c r="E1658" s="12"/>
      <c r="F1658" s="12"/>
      <c r="G1658" s="284"/>
      <c r="H1658" s="14"/>
      <c r="I1658" s="14"/>
      <c r="J1658" s="14"/>
      <c r="K1658" s="14"/>
      <c r="L1658" s="26"/>
      <c r="N1658" s="430"/>
      <c r="P1658" s="430"/>
      <c r="R1658" s="430"/>
      <c r="T1658" s="547"/>
    </row>
    <row r="1659" spans="1:22" s="275" customFormat="1" ht="15">
      <c r="A1659" s="673"/>
      <c r="B1659" s="98" t="s">
        <v>927</v>
      </c>
      <c r="C1659" s="495"/>
      <c r="D1659" s="63"/>
      <c r="E1659" s="63"/>
      <c r="F1659" s="63"/>
      <c r="G1659" s="492"/>
      <c r="H1659" s="61"/>
      <c r="I1659" s="61"/>
      <c r="J1659" s="61"/>
      <c r="K1659" s="61"/>
      <c r="L1659" s="64">
        <v>265</v>
      </c>
      <c r="M1659" s="370"/>
      <c r="N1659" s="432"/>
      <c r="O1659" s="370"/>
      <c r="P1659" s="432"/>
      <c r="Q1659" s="370"/>
      <c r="R1659" s="432"/>
      <c r="S1659" s="370">
        <v>0</v>
      </c>
      <c r="T1659" s="553"/>
      <c r="U1659" s="370"/>
      <c r="V1659" s="370"/>
    </row>
    <row r="1660" spans="1:20" ht="12.75">
      <c r="A1660" s="53"/>
      <c r="B1660" s="72"/>
      <c r="C1660" s="55"/>
      <c r="D1660" s="12"/>
      <c r="E1660" s="12"/>
      <c r="F1660" s="12"/>
      <c r="G1660" s="284"/>
      <c r="H1660" s="14"/>
      <c r="I1660" s="14"/>
      <c r="J1660" s="14"/>
      <c r="K1660" s="14"/>
      <c r="L1660" s="26"/>
      <c r="N1660" s="430"/>
      <c r="P1660" s="430"/>
      <c r="R1660" s="430"/>
      <c r="T1660" s="547"/>
    </row>
    <row r="1661" spans="1:20" ht="13.5" thickBot="1">
      <c r="A1661" s="53"/>
      <c r="B1661" s="72"/>
      <c r="C1661" s="55"/>
      <c r="D1661" s="12"/>
      <c r="E1661" s="12"/>
      <c r="F1661" s="12"/>
      <c r="G1661" s="284"/>
      <c r="H1661" s="14"/>
      <c r="I1661" s="14"/>
      <c r="J1661" s="14"/>
      <c r="K1661" s="14"/>
      <c r="L1661" s="26"/>
      <c r="N1661" s="425"/>
      <c r="O1661" s="411"/>
      <c r="P1661" s="548"/>
      <c r="Q1661" s="411"/>
      <c r="R1661" s="548"/>
      <c r="S1661" s="411"/>
      <c r="T1661" s="548"/>
    </row>
    <row r="1662" spans="1:14" ht="12.75">
      <c r="A1662" s="500"/>
      <c r="B1662" s="472"/>
      <c r="C1662" s="500"/>
      <c r="D1662" s="4"/>
      <c r="E1662" s="4"/>
      <c r="F1662" s="4"/>
      <c r="G1662" s="488"/>
      <c r="H1662" s="500"/>
      <c r="I1662" s="4"/>
      <c r="J1662" s="4"/>
      <c r="K1662" s="4"/>
      <c r="L1662" s="419"/>
      <c r="M1662" s="419"/>
      <c r="N1662" s="490"/>
    </row>
    <row r="1663" spans="1:14" ht="12.75">
      <c r="A1663" s="55"/>
      <c r="B1663" s="69"/>
      <c r="C1663" s="55"/>
      <c r="D1663" s="12"/>
      <c r="E1663" s="12"/>
      <c r="F1663" s="12"/>
      <c r="G1663" s="162"/>
      <c r="H1663" s="55"/>
      <c r="I1663" s="12"/>
      <c r="J1663" s="12"/>
      <c r="K1663" s="12"/>
      <c r="L1663" s="52"/>
      <c r="M1663" s="52"/>
      <c r="N1663" s="428"/>
    </row>
    <row r="1664" spans="1:14" ht="12.75">
      <c r="A1664" s="55"/>
      <c r="B1664" s="69"/>
      <c r="C1664" s="55"/>
      <c r="D1664" s="12"/>
      <c r="E1664" s="12"/>
      <c r="F1664" s="12"/>
      <c r="G1664" s="162"/>
      <c r="H1664" s="55"/>
      <c r="I1664" s="12"/>
      <c r="J1664" s="12"/>
      <c r="K1664" s="12"/>
      <c r="L1664" s="52"/>
      <c r="M1664" s="52"/>
      <c r="N1664" s="428"/>
    </row>
    <row r="1665" spans="1:22" s="131" customFormat="1" ht="12.75">
      <c r="A1665" s="24" t="s">
        <v>713</v>
      </c>
      <c r="B1665" s="69"/>
      <c r="C1665" s="24"/>
      <c r="D1665" s="24"/>
      <c r="E1665" s="24"/>
      <c r="F1665" s="24"/>
      <c r="G1665" s="158"/>
      <c r="H1665" s="24"/>
      <c r="I1665" s="24"/>
      <c r="J1665" s="24"/>
      <c r="K1665" s="24"/>
      <c r="L1665" s="91"/>
      <c r="M1665" s="91"/>
      <c r="N1665" s="438"/>
      <c r="O1665" s="389"/>
      <c r="Q1665" s="389"/>
      <c r="S1665" s="389"/>
      <c r="U1665" s="389"/>
      <c r="V1665" s="389"/>
    </row>
    <row r="1666" spans="1:22" s="131" customFormat="1" ht="12.75">
      <c r="A1666" s="24" t="s">
        <v>714</v>
      </c>
      <c r="B1666" s="69"/>
      <c r="C1666" s="24"/>
      <c r="D1666" s="24"/>
      <c r="E1666" s="24"/>
      <c r="F1666" s="24"/>
      <c r="G1666" s="158"/>
      <c r="H1666" s="24"/>
      <c r="I1666" s="24"/>
      <c r="J1666" s="24"/>
      <c r="K1666" s="24"/>
      <c r="L1666" s="91"/>
      <c r="M1666" s="91"/>
      <c r="N1666" s="438"/>
      <c r="O1666" s="389"/>
      <c r="Q1666" s="389"/>
      <c r="S1666" s="389"/>
      <c r="U1666" s="389"/>
      <c r="V1666" s="389"/>
    </row>
    <row r="1667" spans="1:22" s="131" customFormat="1" ht="12.75">
      <c r="A1667" s="24" t="s">
        <v>715</v>
      </c>
      <c r="B1667" s="69"/>
      <c r="C1667" s="24"/>
      <c r="D1667" s="24"/>
      <c r="E1667" s="24"/>
      <c r="F1667" s="24"/>
      <c r="G1667" s="158"/>
      <c r="H1667" s="24"/>
      <c r="I1667" s="24"/>
      <c r="J1667" s="24"/>
      <c r="K1667" s="24"/>
      <c r="L1667" s="91"/>
      <c r="M1667" s="91"/>
      <c r="N1667" s="438"/>
      <c r="O1667" s="389"/>
      <c r="Q1667" s="389"/>
      <c r="S1667" s="389"/>
      <c r="U1667" s="389"/>
      <c r="V1667" s="389"/>
    </row>
    <row r="1668" spans="1:22" s="131" customFormat="1" ht="12.75">
      <c r="A1668" s="24" t="s">
        <v>716</v>
      </c>
      <c r="B1668" s="69"/>
      <c r="C1668" s="24"/>
      <c r="D1668" s="24"/>
      <c r="E1668" s="24"/>
      <c r="F1668" s="24"/>
      <c r="G1668" s="158"/>
      <c r="H1668" s="24"/>
      <c r="I1668" s="24"/>
      <c r="J1668" s="24"/>
      <c r="K1668" s="24"/>
      <c r="L1668" s="91"/>
      <c r="M1668" s="91"/>
      <c r="N1668" s="438"/>
      <c r="O1668" s="389"/>
      <c r="Q1668" s="389"/>
      <c r="S1668" s="389"/>
      <c r="U1668" s="389"/>
      <c r="V1668" s="389"/>
    </row>
    <row r="1669" spans="1:11" ht="12.75">
      <c r="A1669" s="55" t="s">
        <v>717</v>
      </c>
      <c r="B1669" s="69"/>
      <c r="C1669" s="55"/>
      <c r="D1669" s="12"/>
      <c r="E1669" s="12"/>
      <c r="F1669" s="12"/>
      <c r="G1669" s="162"/>
      <c r="H1669" s="55"/>
      <c r="I1669" s="12"/>
      <c r="J1669" s="12"/>
      <c r="K1669" s="12"/>
    </row>
    <row r="1670" spans="1:22" s="131" customFormat="1" ht="12.75">
      <c r="A1670" s="350" t="s">
        <v>718</v>
      </c>
      <c r="B1670" s="24"/>
      <c r="C1670" s="24"/>
      <c r="D1670" s="24"/>
      <c r="E1670" s="24"/>
      <c r="F1670" s="24"/>
      <c r="G1670" s="24"/>
      <c r="H1670" s="24"/>
      <c r="I1670" s="24"/>
      <c r="J1670" s="24"/>
      <c r="L1670" s="389"/>
      <c r="M1670" s="389"/>
      <c r="N1670" s="681"/>
      <c r="O1670" s="389"/>
      <c r="Q1670" s="389"/>
      <c r="S1670" s="389"/>
      <c r="U1670" s="389"/>
      <c r="V1670" s="389"/>
    </row>
    <row r="1671" spans="1:10" ht="13.5" thickBot="1">
      <c r="A1671" s="24"/>
      <c r="B1671" s="55"/>
      <c r="C1671" s="55"/>
      <c r="H1671" s="12"/>
      <c r="I1671" s="12"/>
      <c r="J1671" s="12"/>
    </row>
    <row r="1672" spans="1:20" ht="13.5" thickBot="1">
      <c r="A1672" s="177" t="s">
        <v>44</v>
      </c>
      <c r="B1672" s="178"/>
      <c r="C1672" s="178"/>
      <c r="D1672" s="179"/>
      <c r="E1672" s="179"/>
      <c r="F1672" s="179"/>
      <c r="G1672" s="15" t="s">
        <v>23</v>
      </c>
      <c r="H1672" s="136"/>
      <c r="I1672" s="137" t="s">
        <v>395</v>
      </c>
      <c r="J1672" s="216"/>
      <c r="K1672" s="10" t="s">
        <v>25</v>
      </c>
      <c r="L1672" s="238" t="s">
        <v>645</v>
      </c>
      <c r="M1672" s="403" t="s">
        <v>296</v>
      </c>
      <c r="N1672" s="426" t="s">
        <v>684</v>
      </c>
      <c r="O1672" s="403" t="s">
        <v>296</v>
      </c>
      <c r="P1672" s="426" t="s">
        <v>683</v>
      </c>
      <c r="Q1672" s="403" t="s">
        <v>296</v>
      </c>
      <c r="R1672" s="426" t="s">
        <v>681</v>
      </c>
      <c r="S1672" s="403" t="s">
        <v>296</v>
      </c>
      <c r="T1672" s="421" t="s">
        <v>681</v>
      </c>
    </row>
    <row r="1673" spans="1:20" ht="16.5" thickTop="1">
      <c r="A1673" s="180" t="s">
        <v>214</v>
      </c>
      <c r="B1673" s="181" t="s">
        <v>215</v>
      </c>
      <c r="C1673" s="182"/>
      <c r="D1673" s="12"/>
      <c r="E1673" s="12"/>
      <c r="F1673" s="12"/>
      <c r="G1673" s="11" t="s">
        <v>45</v>
      </c>
      <c r="H1673" s="32" t="s">
        <v>27</v>
      </c>
      <c r="I1673" s="6" t="s">
        <v>92</v>
      </c>
      <c r="J1673" s="108" t="s">
        <v>29</v>
      </c>
      <c r="K1673" s="33" t="s">
        <v>46</v>
      </c>
      <c r="L1673" s="208"/>
      <c r="M1673" s="25" t="s">
        <v>297</v>
      </c>
      <c r="N1673" s="425"/>
      <c r="O1673" s="25" t="s">
        <v>750</v>
      </c>
      <c r="P1673" s="547"/>
      <c r="Q1673" s="25" t="s">
        <v>896</v>
      </c>
      <c r="R1673" s="547"/>
      <c r="S1673" s="25" t="s">
        <v>957</v>
      </c>
      <c r="T1673" s="422"/>
    </row>
    <row r="1674" spans="1:20" ht="13.5" thickBot="1">
      <c r="A1674" s="183"/>
      <c r="B1674" s="184"/>
      <c r="C1674" s="185"/>
      <c r="D1674" s="37"/>
      <c r="E1674" s="37"/>
      <c r="F1674" s="37"/>
      <c r="G1674" s="83"/>
      <c r="H1674" s="84">
        <v>38335</v>
      </c>
      <c r="I1674" s="148">
        <v>38587</v>
      </c>
      <c r="J1674" s="110" t="s">
        <v>31</v>
      </c>
      <c r="K1674" s="33" t="s">
        <v>32</v>
      </c>
      <c r="L1674" s="242"/>
      <c r="M1674" s="404"/>
      <c r="N1674" s="429"/>
      <c r="O1674" s="404"/>
      <c r="P1674" s="548"/>
      <c r="Q1674" s="404"/>
      <c r="R1674" s="548"/>
      <c r="S1674" s="404"/>
      <c r="T1674" s="423"/>
    </row>
    <row r="1675" spans="1:20" ht="13.5" thickBot="1">
      <c r="A1675" s="186"/>
      <c r="B1675" s="187"/>
      <c r="C1675" s="39"/>
      <c r="D1675" s="347" t="s">
        <v>48</v>
      </c>
      <c r="E1675" s="19"/>
      <c r="F1675" s="19"/>
      <c r="G1675" s="152">
        <v>1</v>
      </c>
      <c r="H1675" s="41">
        <v>2</v>
      </c>
      <c r="I1675" s="188">
        <v>3</v>
      </c>
      <c r="J1675" s="22">
        <v>4</v>
      </c>
      <c r="K1675" s="40">
        <v>1</v>
      </c>
      <c r="L1675" s="599">
        <v>1</v>
      </c>
      <c r="M1675" s="409"/>
      <c r="N1675" s="424"/>
      <c r="P1675" s="547"/>
      <c r="R1675" s="556"/>
      <c r="T1675" s="556"/>
    </row>
    <row r="1676" spans="1:20" ht="15">
      <c r="A1676" s="457"/>
      <c r="B1676" s="372" t="s">
        <v>228</v>
      </c>
      <c r="C1676" s="372"/>
      <c r="D1676" s="373"/>
      <c r="E1676" s="373"/>
      <c r="F1676" s="373"/>
      <c r="G1676" s="450">
        <f aca="true" t="shared" si="253" ref="G1676:S1676">G1678</f>
        <v>662</v>
      </c>
      <c r="H1676" s="450">
        <f t="shared" si="253"/>
        <v>500</v>
      </c>
      <c r="I1676" s="450">
        <f t="shared" si="253"/>
        <v>500</v>
      </c>
      <c r="J1676" s="451">
        <f t="shared" si="253"/>
        <v>322</v>
      </c>
      <c r="K1676" s="450">
        <f t="shared" si="253"/>
        <v>650</v>
      </c>
      <c r="L1676" s="390">
        <f t="shared" si="253"/>
        <v>650</v>
      </c>
      <c r="M1676" s="445">
        <f t="shared" si="253"/>
        <v>124</v>
      </c>
      <c r="N1676" s="440">
        <f>SUM(M1676/L1676)*100</f>
        <v>19.076923076923077</v>
      </c>
      <c r="O1676" s="392">
        <f t="shared" si="253"/>
        <v>155</v>
      </c>
      <c r="P1676" s="567">
        <f>SUM(O1676/L1676)*100</f>
        <v>23.846153846153847</v>
      </c>
      <c r="Q1676" s="392">
        <f t="shared" si="253"/>
        <v>205</v>
      </c>
      <c r="R1676" s="567">
        <f>SUM(Q1676/L1676)*100</f>
        <v>31.538461538461537</v>
      </c>
      <c r="S1676" s="392">
        <f t="shared" si="253"/>
        <v>212</v>
      </c>
      <c r="T1676" s="567">
        <f>SUM(S1676/L1676)*100</f>
        <v>32.61538461538461</v>
      </c>
    </row>
    <row r="1677" spans="1:20" ht="12.75">
      <c r="A1677" s="327"/>
      <c r="B1677" s="12"/>
      <c r="C1677" s="12"/>
      <c r="D1677" s="12"/>
      <c r="E1677" s="12"/>
      <c r="F1677" s="12"/>
      <c r="G1677" s="284"/>
      <c r="H1677" s="14"/>
      <c r="I1677" s="14"/>
      <c r="J1677" s="11"/>
      <c r="K1677" s="14"/>
      <c r="L1677" s="26"/>
      <c r="N1677" s="425"/>
      <c r="P1677" s="547"/>
      <c r="R1677" s="547"/>
      <c r="T1677" s="547"/>
    </row>
    <row r="1678" spans="1:20" ht="12.75">
      <c r="A1678" s="300">
        <v>642</v>
      </c>
      <c r="B1678" s="355" t="s">
        <v>481</v>
      </c>
      <c r="C1678" s="49"/>
      <c r="D1678" s="12"/>
      <c r="E1678" s="12"/>
      <c r="F1678" s="12"/>
      <c r="G1678" s="198">
        <f>SUM(G1679:G1682)</f>
        <v>662</v>
      </c>
      <c r="H1678" s="66">
        <f>SUM(H1679:H1682)</f>
        <v>500</v>
      </c>
      <c r="I1678" s="66">
        <f>SUM(I1679:I1682)</f>
        <v>500</v>
      </c>
      <c r="J1678" s="199">
        <f>SUM(J1679:J1682)</f>
        <v>322</v>
      </c>
      <c r="K1678" s="66">
        <f>SUM(K1679:K1682)</f>
        <v>650</v>
      </c>
      <c r="L1678" s="50">
        <f>SUM(L1679+L1681)</f>
        <v>650</v>
      </c>
      <c r="M1678" s="199">
        <f>SUM(M1679+M1681)</f>
        <v>124</v>
      </c>
      <c r="N1678" s="433">
        <f>SUM(M1678/L1678)*100</f>
        <v>19.076923076923077</v>
      </c>
      <c r="O1678" s="197">
        <f>SUM(O1679+O1681)</f>
        <v>155</v>
      </c>
      <c r="P1678" s="433">
        <f>SUM(O1678/L1678)*100</f>
        <v>23.846153846153847</v>
      </c>
      <c r="Q1678" s="197">
        <f>SUM(Q1679+Q1681)</f>
        <v>205</v>
      </c>
      <c r="R1678" s="433">
        <f>SUM(Q1678/L1678)*100</f>
        <v>31.538461538461537</v>
      </c>
      <c r="S1678" s="197">
        <f>SUM(S1679+S1681)</f>
        <v>212</v>
      </c>
      <c r="T1678" s="433">
        <f>SUM(S1678/L1678)*100</f>
        <v>32.61538461538461</v>
      </c>
    </row>
    <row r="1679" spans="1:20" ht="12.75">
      <c r="A1679" s="156">
        <v>642026</v>
      </c>
      <c r="B1679" s="329" t="s">
        <v>9</v>
      </c>
      <c r="C1679" s="55"/>
      <c r="D1679" s="12"/>
      <c r="E1679" s="12"/>
      <c r="F1679" s="12"/>
      <c r="G1679" s="284">
        <v>662</v>
      </c>
      <c r="H1679" s="14">
        <v>450</v>
      </c>
      <c r="I1679" s="14">
        <v>450</v>
      </c>
      <c r="J1679" s="11">
        <v>322</v>
      </c>
      <c r="K1679" s="14">
        <v>550</v>
      </c>
      <c r="L1679" s="26">
        <v>550</v>
      </c>
      <c r="M1679" s="31">
        <v>124</v>
      </c>
      <c r="N1679" s="430">
        <f>SUM(M1679/L1679)*100</f>
        <v>22.545454545454547</v>
      </c>
      <c r="O1679" s="31">
        <v>155</v>
      </c>
      <c r="P1679" s="430">
        <f>SUM(O1679/L1679)*100</f>
        <v>28.18181818181818</v>
      </c>
      <c r="Q1679" s="31">
        <v>205</v>
      </c>
      <c r="R1679" s="430">
        <f>SUM(Q1679/L1679)*100</f>
        <v>37.27272727272727</v>
      </c>
      <c r="S1679" s="31">
        <v>212</v>
      </c>
      <c r="T1679" s="430">
        <f>SUM(S1679/L1679)*100</f>
        <v>38.54545454545455</v>
      </c>
    </row>
    <row r="1680" spans="1:20" ht="12.75">
      <c r="A1680" s="330"/>
      <c r="B1680" s="363" t="s">
        <v>10</v>
      </c>
      <c r="C1680" s="70"/>
      <c r="D1680" s="12"/>
      <c r="E1680" s="12"/>
      <c r="F1680" s="12"/>
      <c r="G1680" s="284"/>
      <c r="H1680" s="14"/>
      <c r="I1680" s="14"/>
      <c r="J1680" s="11"/>
      <c r="K1680" s="14"/>
      <c r="L1680" s="26">
        <v>550</v>
      </c>
      <c r="M1680" s="31">
        <v>124</v>
      </c>
      <c r="N1680" s="425"/>
      <c r="O1680" s="31">
        <v>155</v>
      </c>
      <c r="P1680" s="547"/>
      <c r="Q1680" s="31">
        <v>205</v>
      </c>
      <c r="R1680" s="430">
        <f>SUM(Q1680/L1680)*100</f>
        <v>37.27272727272727</v>
      </c>
      <c r="S1680" s="31">
        <v>212</v>
      </c>
      <c r="T1680" s="430">
        <f>SUM(S1680/L1680)*100</f>
        <v>38.54545454545455</v>
      </c>
    </row>
    <row r="1681" spans="1:20" ht="12.75">
      <c r="A1681" s="156">
        <v>642014</v>
      </c>
      <c r="B1681" s="24" t="s">
        <v>11</v>
      </c>
      <c r="C1681" s="55"/>
      <c r="D1681" s="12"/>
      <c r="E1681" s="12"/>
      <c r="F1681" s="12"/>
      <c r="G1681" s="162">
        <v>0</v>
      </c>
      <c r="H1681" s="12">
        <v>50</v>
      </c>
      <c r="I1681" s="12">
        <v>50</v>
      </c>
      <c r="J1681" s="12"/>
      <c r="K1681" s="14">
        <f>50+50</f>
        <v>100</v>
      </c>
      <c r="L1681" s="26">
        <f>SUM(L1682:L1683)</f>
        <v>100</v>
      </c>
      <c r="N1681" s="425"/>
      <c r="P1681" s="547"/>
      <c r="R1681" s="547"/>
      <c r="S1681" s="31">
        <v>0</v>
      </c>
      <c r="T1681" s="547"/>
    </row>
    <row r="1682" spans="1:20" ht="12.75">
      <c r="A1682" s="330"/>
      <c r="B1682" s="70" t="s">
        <v>12</v>
      </c>
      <c r="C1682" s="70"/>
      <c r="D1682" s="12"/>
      <c r="E1682" s="12"/>
      <c r="F1682" s="12"/>
      <c r="G1682" s="284"/>
      <c r="H1682" s="14"/>
      <c r="I1682" s="14"/>
      <c r="J1682" s="11"/>
      <c r="K1682" s="14"/>
      <c r="L1682" s="60">
        <v>50</v>
      </c>
      <c r="N1682" s="425"/>
      <c r="P1682" s="547"/>
      <c r="R1682" s="547"/>
      <c r="T1682" s="547"/>
    </row>
    <row r="1683" spans="1:20" ht="13.5" thickBot="1">
      <c r="A1683" s="364"/>
      <c r="B1683" s="77" t="s">
        <v>13</v>
      </c>
      <c r="C1683" s="19"/>
      <c r="D1683" s="19"/>
      <c r="E1683" s="19"/>
      <c r="F1683" s="19"/>
      <c r="G1683" s="19"/>
      <c r="H1683" s="19"/>
      <c r="I1683" s="19"/>
      <c r="J1683" s="19"/>
      <c r="K1683" s="21"/>
      <c r="L1683" s="76">
        <v>50</v>
      </c>
      <c r="M1683" s="411"/>
      <c r="N1683" s="429"/>
      <c r="O1683" s="411"/>
      <c r="P1683" s="548"/>
      <c r="Q1683" s="411"/>
      <c r="R1683" s="548"/>
      <c r="S1683" s="411"/>
      <c r="T1683" s="548"/>
    </row>
    <row r="1684" spans="1:12" ht="12.75">
      <c r="A1684" s="55"/>
      <c r="B1684" s="55"/>
      <c r="C1684" s="55"/>
      <c r="D1684" s="12"/>
      <c r="E1684" s="12"/>
      <c r="F1684" s="12"/>
      <c r="G1684" s="162"/>
      <c r="H1684" s="55"/>
      <c r="I1684" s="55"/>
      <c r="J1684" s="12"/>
      <c r="K1684" s="55"/>
      <c r="L1684" s="52"/>
    </row>
    <row r="1685" spans="1:12" ht="12.75">
      <c r="A1685" s="55" t="s">
        <v>719</v>
      </c>
      <c r="B1685" s="55"/>
      <c r="C1685" s="55"/>
      <c r="D1685" s="12"/>
      <c r="E1685" s="12"/>
      <c r="F1685" s="12"/>
      <c r="G1685" s="162"/>
      <c r="H1685" s="55"/>
      <c r="I1685" s="55"/>
      <c r="J1685" s="12"/>
      <c r="K1685" s="55"/>
      <c r="L1685" s="52"/>
    </row>
    <row r="1686" spans="1:22" s="131" customFormat="1" ht="12.75">
      <c r="A1686" s="24" t="s">
        <v>720</v>
      </c>
      <c r="B1686" s="24"/>
      <c r="C1686" s="24"/>
      <c r="D1686" s="24"/>
      <c r="E1686" s="24"/>
      <c r="F1686" s="24"/>
      <c r="G1686" s="158"/>
      <c r="H1686" s="24"/>
      <c r="I1686" s="24"/>
      <c r="J1686" s="24"/>
      <c r="K1686" s="24"/>
      <c r="L1686" s="91"/>
      <c r="M1686" s="389"/>
      <c r="N1686" s="681"/>
      <c r="O1686" s="389"/>
      <c r="Q1686" s="389"/>
      <c r="S1686" s="389"/>
      <c r="U1686" s="389"/>
      <c r="V1686" s="389"/>
    </row>
    <row r="1687" spans="1:12" ht="12.75">
      <c r="A1687" s="55" t="s">
        <v>721</v>
      </c>
      <c r="B1687" s="55"/>
      <c r="C1687" s="55"/>
      <c r="D1687" s="12"/>
      <c r="E1687" s="12"/>
      <c r="F1687" s="12"/>
      <c r="G1687" s="162"/>
      <c r="H1687" s="55"/>
      <c r="I1687" s="55"/>
      <c r="J1687" s="12"/>
      <c r="K1687" s="55"/>
      <c r="L1687" s="52"/>
    </row>
    <row r="1688" spans="1:12" ht="12.75">
      <c r="A1688" s="55"/>
      <c r="B1688" s="55"/>
      <c r="C1688" s="55"/>
      <c r="D1688" s="12"/>
      <c r="E1688" s="12"/>
      <c r="F1688" s="12"/>
      <c r="G1688" s="162"/>
      <c r="H1688" s="55"/>
      <c r="I1688" s="55"/>
      <c r="J1688" s="12"/>
      <c r="K1688" s="55"/>
      <c r="L1688" s="52"/>
    </row>
    <row r="1689" spans="1:12" ht="12.75">
      <c r="A1689" s="24"/>
      <c r="B1689" s="55"/>
      <c r="C1689" s="55"/>
      <c r="D1689" s="12"/>
      <c r="E1689" s="12"/>
      <c r="F1689" s="12"/>
      <c r="G1689" s="162"/>
      <c r="H1689" s="55"/>
      <c r="I1689" s="55"/>
      <c r="J1689" s="12"/>
      <c r="K1689" s="55"/>
      <c r="L1689" s="52"/>
    </row>
    <row r="1690" spans="2:11" ht="13.5" thickBot="1">
      <c r="B1690" s="55"/>
      <c r="C1690" s="55"/>
      <c r="G1690" s="162"/>
      <c r="I1690" s="12"/>
      <c r="J1690" s="12"/>
      <c r="K1690" s="12"/>
    </row>
    <row r="1691" spans="1:20" ht="13.5" thickBot="1">
      <c r="A1691" s="177" t="s">
        <v>44</v>
      </c>
      <c r="B1691" s="178"/>
      <c r="C1691" s="178"/>
      <c r="D1691" s="179"/>
      <c r="E1691" s="179"/>
      <c r="F1691" s="179"/>
      <c r="G1691" s="15" t="s">
        <v>23</v>
      </c>
      <c r="H1691" s="136"/>
      <c r="I1691" s="137" t="s">
        <v>395</v>
      </c>
      <c r="J1691" s="216"/>
      <c r="K1691" s="10" t="s">
        <v>25</v>
      </c>
      <c r="L1691" s="238" t="s">
        <v>645</v>
      </c>
      <c r="M1691" s="403" t="s">
        <v>296</v>
      </c>
      <c r="N1691" s="426" t="s">
        <v>684</v>
      </c>
      <c r="O1691" s="403" t="s">
        <v>296</v>
      </c>
      <c r="P1691" s="426" t="s">
        <v>683</v>
      </c>
      <c r="Q1691" s="403" t="s">
        <v>296</v>
      </c>
      <c r="R1691" s="426" t="s">
        <v>681</v>
      </c>
      <c r="S1691" s="403" t="s">
        <v>296</v>
      </c>
      <c r="T1691" s="421" t="s">
        <v>681</v>
      </c>
    </row>
    <row r="1692" spans="1:20" ht="16.5" thickTop="1">
      <c r="A1692" s="365" t="s">
        <v>208</v>
      </c>
      <c r="B1692" s="278" t="s">
        <v>14</v>
      </c>
      <c r="C1692" s="182"/>
      <c r="D1692" s="12"/>
      <c r="E1692" s="12"/>
      <c r="F1692" s="12"/>
      <c r="G1692" s="11" t="s">
        <v>45</v>
      </c>
      <c r="H1692" s="32" t="s">
        <v>27</v>
      </c>
      <c r="I1692" s="6" t="s">
        <v>92</v>
      </c>
      <c r="J1692" s="108" t="s">
        <v>29</v>
      </c>
      <c r="K1692" s="33" t="s">
        <v>46</v>
      </c>
      <c r="L1692" s="208"/>
      <c r="M1692" s="25" t="s">
        <v>297</v>
      </c>
      <c r="N1692" s="425"/>
      <c r="O1692" s="25" t="s">
        <v>750</v>
      </c>
      <c r="P1692" s="547"/>
      <c r="Q1692" s="25" t="s">
        <v>896</v>
      </c>
      <c r="R1692" s="547"/>
      <c r="S1692" s="25" t="s">
        <v>957</v>
      </c>
      <c r="T1692" s="422"/>
    </row>
    <row r="1693" spans="1:20" ht="16.5" thickBot="1">
      <c r="A1693" s="183"/>
      <c r="B1693" s="277" t="s">
        <v>207</v>
      </c>
      <c r="C1693" s="185"/>
      <c r="D1693" s="37"/>
      <c r="E1693" s="37"/>
      <c r="F1693" s="37"/>
      <c r="G1693" s="83"/>
      <c r="H1693" s="84">
        <v>38335</v>
      </c>
      <c r="I1693" s="148">
        <v>38587</v>
      </c>
      <c r="J1693" s="110" t="s">
        <v>31</v>
      </c>
      <c r="K1693" s="33" t="s">
        <v>32</v>
      </c>
      <c r="L1693" s="242"/>
      <c r="M1693" s="404"/>
      <c r="N1693" s="429"/>
      <c r="O1693" s="404"/>
      <c r="P1693" s="548"/>
      <c r="Q1693" s="404"/>
      <c r="R1693" s="548"/>
      <c r="S1693" s="404"/>
      <c r="T1693" s="423"/>
    </row>
    <row r="1694" spans="1:20" ht="13.5" thickBot="1">
      <c r="A1694" s="186"/>
      <c r="B1694" s="187"/>
      <c r="C1694" s="39"/>
      <c r="D1694" s="347" t="s">
        <v>48</v>
      </c>
      <c r="E1694" s="19"/>
      <c r="F1694" s="19"/>
      <c r="G1694" s="152">
        <v>1</v>
      </c>
      <c r="H1694" s="41">
        <v>2</v>
      </c>
      <c r="I1694" s="188">
        <v>3</v>
      </c>
      <c r="J1694" s="22">
        <v>4</v>
      </c>
      <c r="K1694" s="40">
        <v>1</v>
      </c>
      <c r="L1694" s="599">
        <v>1</v>
      </c>
      <c r="M1694" s="409"/>
      <c r="N1694" s="424"/>
      <c r="P1694" s="547"/>
      <c r="R1694" s="556"/>
      <c r="T1694" s="556"/>
    </row>
    <row r="1695" spans="1:22" s="28" customFormat="1" ht="15">
      <c r="A1695" s="444"/>
      <c r="B1695" s="445" t="s">
        <v>228</v>
      </c>
      <c r="C1695" s="373"/>
      <c r="D1695" s="373"/>
      <c r="E1695" s="373"/>
      <c r="F1695" s="446"/>
      <c r="G1695" s="455">
        <f aca="true" t="shared" si="254" ref="G1695:S1695">G1697+G1699+G1701+G1716</f>
        <v>5991</v>
      </c>
      <c r="H1695" s="390">
        <f t="shared" si="254"/>
        <v>4905</v>
      </c>
      <c r="I1695" s="390">
        <f t="shared" si="254"/>
        <v>4905</v>
      </c>
      <c r="J1695" s="390">
        <f t="shared" si="254"/>
        <v>2180</v>
      </c>
      <c r="K1695" s="390">
        <f t="shared" si="254"/>
        <v>6214</v>
      </c>
      <c r="L1695" s="390">
        <f t="shared" si="254"/>
        <v>5304</v>
      </c>
      <c r="M1695" s="392">
        <f t="shared" si="254"/>
        <v>966</v>
      </c>
      <c r="N1695" s="440">
        <f>SUM(M1695/L1695)*100</f>
        <v>18.212669683257918</v>
      </c>
      <c r="O1695" s="392">
        <f t="shared" si="254"/>
        <v>1458</v>
      </c>
      <c r="P1695" s="567">
        <f>SUM(O1695/L1695)*100</f>
        <v>27.48868778280543</v>
      </c>
      <c r="Q1695" s="392">
        <f t="shared" si="254"/>
        <v>2444</v>
      </c>
      <c r="R1695" s="567">
        <f>SUM(Q1695/L1695)*100</f>
        <v>46.07843137254902</v>
      </c>
      <c r="S1695" s="392">
        <f t="shared" si="254"/>
        <v>2500</v>
      </c>
      <c r="T1695" s="567">
        <f>SUM(S1695/L1695)*100</f>
        <v>47.134238310708895</v>
      </c>
      <c r="U1695" s="783"/>
      <c r="V1695" s="783"/>
    </row>
    <row r="1696" spans="1:20" ht="12.75">
      <c r="A1696" s="11"/>
      <c r="B1696" s="11"/>
      <c r="C1696" s="12"/>
      <c r="D1696" s="12"/>
      <c r="E1696" s="12"/>
      <c r="F1696" s="13"/>
      <c r="G1696" s="155"/>
      <c r="H1696" s="29"/>
      <c r="I1696" s="29"/>
      <c r="J1696" s="29"/>
      <c r="K1696" s="29"/>
      <c r="L1696" s="26"/>
      <c r="N1696" s="425"/>
      <c r="P1696" s="547"/>
      <c r="R1696" s="547"/>
      <c r="T1696" s="547"/>
    </row>
    <row r="1697" spans="1:20" ht="12.75">
      <c r="A1697" s="199">
        <v>610</v>
      </c>
      <c r="B1697" s="199" t="s">
        <v>3</v>
      </c>
      <c r="C1697" s="49"/>
      <c r="D1697" s="12"/>
      <c r="E1697" s="12"/>
      <c r="F1697" s="13"/>
      <c r="G1697" s="305">
        <v>3734</v>
      </c>
      <c r="H1697" s="319">
        <v>3278</v>
      </c>
      <c r="I1697" s="319">
        <v>3278</v>
      </c>
      <c r="J1697" s="319">
        <v>1437</v>
      </c>
      <c r="K1697" s="319">
        <v>4131</v>
      </c>
      <c r="L1697" s="50">
        <v>3500</v>
      </c>
      <c r="M1697" s="399">
        <v>651</v>
      </c>
      <c r="N1697" s="433">
        <f>SUM(M1697/L1697)*100</f>
        <v>18.6</v>
      </c>
      <c r="O1697" s="399">
        <v>978</v>
      </c>
      <c r="P1697" s="433">
        <f>SUM(O1697/L1697)*100</f>
        <v>27.942857142857143</v>
      </c>
      <c r="Q1697" s="399">
        <v>1626</v>
      </c>
      <c r="R1697" s="433">
        <f>SUM(Q1697/L1697)*100</f>
        <v>46.457142857142856</v>
      </c>
      <c r="S1697" s="399">
        <v>1627</v>
      </c>
      <c r="T1697" s="433">
        <f>SUM(S1697/L1697)*100</f>
        <v>46.48571428571429</v>
      </c>
    </row>
    <row r="1698" spans="1:20" ht="12.75">
      <c r="A1698" s="11"/>
      <c r="B1698" s="11"/>
      <c r="C1698" s="12"/>
      <c r="D1698" s="12"/>
      <c r="E1698" s="12"/>
      <c r="F1698" s="13"/>
      <c r="G1698" s="155"/>
      <c r="H1698" s="29"/>
      <c r="I1698" s="29"/>
      <c r="J1698" s="29"/>
      <c r="K1698" s="29"/>
      <c r="L1698" s="26"/>
      <c r="N1698" s="425"/>
      <c r="O1698" s="399"/>
      <c r="P1698" s="552"/>
      <c r="R1698" s="547"/>
      <c r="S1698" s="399"/>
      <c r="T1698" s="547"/>
    </row>
    <row r="1699" spans="1:20" ht="12.75">
      <c r="A1699" s="199">
        <v>620</v>
      </c>
      <c r="B1699" s="199" t="s">
        <v>424</v>
      </c>
      <c r="C1699" s="12"/>
      <c r="D1699" s="12"/>
      <c r="E1699" s="12"/>
      <c r="F1699" s="13"/>
      <c r="G1699" s="305">
        <v>1284</v>
      </c>
      <c r="H1699" s="319">
        <v>1146</v>
      </c>
      <c r="I1699" s="319">
        <v>1146</v>
      </c>
      <c r="J1699" s="319">
        <v>502</v>
      </c>
      <c r="K1699" s="319">
        <v>1467</v>
      </c>
      <c r="L1699" s="50">
        <v>1223</v>
      </c>
      <c r="M1699" s="399">
        <v>229</v>
      </c>
      <c r="N1699" s="433">
        <f>SUM(M1699/L1699)*100</f>
        <v>18.724448078495502</v>
      </c>
      <c r="O1699" s="399">
        <v>344</v>
      </c>
      <c r="P1699" s="433">
        <f>SUM(O1699/L1699)*100</f>
        <v>28.12755519215045</v>
      </c>
      <c r="Q1699" s="399">
        <v>573</v>
      </c>
      <c r="R1699" s="433">
        <f>SUM(Q1699/L1699)*100</f>
        <v>46.85200327064595</v>
      </c>
      <c r="S1699" s="399">
        <v>573</v>
      </c>
      <c r="T1699" s="433">
        <f>SUM(S1699/L1699)*100</f>
        <v>46.85200327064595</v>
      </c>
    </row>
    <row r="1700" spans="1:20" ht="12.75">
      <c r="A1700" s="11"/>
      <c r="B1700" s="11"/>
      <c r="C1700" s="12"/>
      <c r="D1700" s="12"/>
      <c r="E1700" s="12"/>
      <c r="F1700" s="13"/>
      <c r="G1700" s="155"/>
      <c r="H1700" s="29"/>
      <c r="I1700" s="29"/>
      <c r="J1700" s="29"/>
      <c r="K1700" s="29"/>
      <c r="L1700" s="26"/>
      <c r="N1700" s="425"/>
      <c r="P1700" s="547"/>
      <c r="R1700" s="547"/>
      <c r="T1700" s="547"/>
    </row>
    <row r="1701" spans="1:20" ht="12.75">
      <c r="A1701" s="199">
        <v>630</v>
      </c>
      <c r="B1701" s="199" t="s">
        <v>506</v>
      </c>
      <c r="C1701" s="12"/>
      <c r="D1701" s="12"/>
      <c r="E1701" s="12"/>
      <c r="F1701" s="13"/>
      <c r="G1701" s="305">
        <f>SUM(G1702:G1714)</f>
        <v>962</v>
      </c>
      <c r="H1701" s="50">
        <f aca="true" t="shared" si="255" ref="H1701:S1701">SUM(H1707:H1714)</f>
        <v>471</v>
      </c>
      <c r="I1701" s="50">
        <f t="shared" si="255"/>
        <v>471</v>
      </c>
      <c r="J1701" s="50">
        <f t="shared" si="255"/>
        <v>233</v>
      </c>
      <c r="K1701" s="50">
        <f t="shared" si="255"/>
        <v>596</v>
      </c>
      <c r="L1701" s="50">
        <f t="shared" si="255"/>
        <v>561</v>
      </c>
      <c r="M1701" s="197">
        <f t="shared" si="255"/>
        <v>82</v>
      </c>
      <c r="N1701" s="433">
        <f>SUM(M1701/L1701)*100</f>
        <v>14.616755793226382</v>
      </c>
      <c r="O1701" s="197">
        <f t="shared" si="255"/>
        <v>128</v>
      </c>
      <c r="P1701" s="433">
        <f>SUM(O1701/L1701)*100</f>
        <v>22.816399286987522</v>
      </c>
      <c r="Q1701" s="197">
        <f t="shared" si="255"/>
        <v>233</v>
      </c>
      <c r="R1701" s="433">
        <f>SUM(Q1701/L1701)*100</f>
        <v>41.53297682709447</v>
      </c>
      <c r="S1701" s="197">
        <f t="shared" si="255"/>
        <v>288</v>
      </c>
      <c r="T1701" s="433">
        <f>SUM(S1701/L1701)*100</f>
        <v>51.33689839572193</v>
      </c>
    </row>
    <row r="1702" spans="1:20" ht="12.75">
      <c r="A1702" s="23">
        <v>633001</v>
      </c>
      <c r="B1702" s="23" t="s">
        <v>249</v>
      </c>
      <c r="C1702" s="24"/>
      <c r="D1702" s="24"/>
      <c r="E1702" s="24"/>
      <c r="F1702" s="58"/>
      <c r="G1702" s="304">
        <v>28</v>
      </c>
      <c r="H1702" s="320"/>
      <c r="I1702" s="320"/>
      <c r="J1702" s="320"/>
      <c r="K1702" s="320"/>
      <c r="L1702" s="26"/>
      <c r="N1702" s="425"/>
      <c r="P1702" s="547"/>
      <c r="R1702" s="547"/>
      <c r="T1702" s="547"/>
    </row>
    <row r="1703" spans="1:20" ht="12.75">
      <c r="A1703" s="23">
        <v>633002</v>
      </c>
      <c r="B1703" s="23" t="s">
        <v>246</v>
      </c>
      <c r="C1703" s="24"/>
      <c r="D1703" s="24"/>
      <c r="E1703" s="24"/>
      <c r="F1703" s="58"/>
      <c r="G1703" s="304">
        <v>143</v>
      </c>
      <c r="H1703" s="320"/>
      <c r="I1703" s="320"/>
      <c r="J1703" s="320"/>
      <c r="K1703" s="320"/>
      <c r="L1703" s="26"/>
      <c r="N1703" s="425"/>
      <c r="P1703" s="547"/>
      <c r="R1703" s="547"/>
      <c r="T1703" s="547"/>
    </row>
    <row r="1704" spans="1:20" ht="12.75">
      <c r="A1704" s="23">
        <v>633003</v>
      </c>
      <c r="B1704" s="23" t="s">
        <v>247</v>
      </c>
      <c r="C1704" s="24"/>
      <c r="D1704" s="24"/>
      <c r="E1704" s="24"/>
      <c r="F1704" s="58"/>
      <c r="G1704" s="304">
        <v>24</v>
      </c>
      <c r="H1704" s="320"/>
      <c r="I1704" s="320"/>
      <c r="J1704" s="320"/>
      <c r="K1704" s="320"/>
      <c r="L1704" s="26"/>
      <c r="N1704" s="425"/>
      <c r="P1704" s="547"/>
      <c r="R1704" s="547"/>
      <c r="T1704" s="547"/>
    </row>
    <row r="1705" spans="1:20" ht="12.75">
      <c r="A1705" s="23">
        <v>633004</v>
      </c>
      <c r="B1705" s="23" t="s">
        <v>15</v>
      </c>
      <c r="C1705" s="24"/>
      <c r="D1705" s="24"/>
      <c r="E1705" s="24"/>
      <c r="F1705" s="58"/>
      <c r="G1705" s="304">
        <v>18</v>
      </c>
      <c r="H1705" s="320"/>
      <c r="I1705" s="320"/>
      <c r="J1705" s="320"/>
      <c r="K1705" s="320"/>
      <c r="L1705" s="26"/>
      <c r="N1705" s="425"/>
      <c r="P1705" s="547"/>
      <c r="R1705" s="547"/>
      <c r="T1705" s="547"/>
    </row>
    <row r="1706" spans="1:20" ht="12.75">
      <c r="A1706" s="23">
        <v>633006</v>
      </c>
      <c r="B1706" s="23" t="s">
        <v>433</v>
      </c>
      <c r="C1706" s="24"/>
      <c r="D1706" s="24"/>
      <c r="E1706" s="24"/>
      <c r="F1706" s="58"/>
      <c r="G1706" s="304">
        <v>25</v>
      </c>
      <c r="H1706" s="320"/>
      <c r="I1706" s="320"/>
      <c r="J1706" s="320"/>
      <c r="K1706" s="320"/>
      <c r="L1706" s="26"/>
      <c r="N1706" s="425"/>
      <c r="P1706" s="547"/>
      <c r="R1706" s="547"/>
      <c r="T1706" s="547"/>
    </row>
    <row r="1707" spans="1:20" ht="12.75">
      <c r="A1707" s="11">
        <v>637014</v>
      </c>
      <c r="B1707" s="11" t="s">
        <v>373</v>
      </c>
      <c r="C1707" s="12"/>
      <c r="D1707" s="12"/>
      <c r="E1707" s="12"/>
      <c r="F1707" s="13"/>
      <c r="G1707" s="155">
        <v>392</v>
      </c>
      <c r="H1707" s="29">
        <f>320+20</f>
        <v>340</v>
      </c>
      <c r="I1707" s="29">
        <f>320+20</f>
        <v>340</v>
      </c>
      <c r="J1707" s="29">
        <v>202</v>
      </c>
      <c r="K1707" s="29">
        <v>474</v>
      </c>
      <c r="L1707" s="26">
        <v>439</v>
      </c>
      <c r="M1707" s="31">
        <v>74</v>
      </c>
      <c r="N1707" s="430">
        <f>SUM(M1707/L1707)*100</f>
        <v>16.856492027334852</v>
      </c>
      <c r="O1707" s="31">
        <v>117</v>
      </c>
      <c r="P1707" s="430">
        <f>SUM(O1707/L1707)*100</f>
        <v>26.65148063781321</v>
      </c>
      <c r="Q1707" s="31">
        <v>210</v>
      </c>
      <c r="R1707" s="430">
        <f>SUM(Q1707/L1707)*100</f>
        <v>47.83599088838269</v>
      </c>
      <c r="S1707" s="31">
        <v>265</v>
      </c>
      <c r="T1707" s="430">
        <f>SUM(S1707/L1707)*100</f>
        <v>60.36446469248291</v>
      </c>
    </row>
    <row r="1708" spans="1:20" ht="12.75">
      <c r="A1708" s="11">
        <v>634001</v>
      </c>
      <c r="B1708" s="11" t="s">
        <v>16</v>
      </c>
      <c r="C1708" s="12"/>
      <c r="D1708" s="12"/>
      <c r="E1708" s="12"/>
      <c r="F1708" s="13"/>
      <c r="G1708" s="155">
        <v>24</v>
      </c>
      <c r="H1708" s="29">
        <v>26</v>
      </c>
      <c r="I1708" s="29">
        <v>26</v>
      </c>
      <c r="J1708" s="29">
        <v>15</v>
      </c>
      <c r="K1708" s="29">
        <v>26</v>
      </c>
      <c r="L1708" s="26">
        <v>26</v>
      </c>
      <c r="M1708" s="31">
        <v>1</v>
      </c>
      <c r="N1708" s="430">
        <f>SUM(M1708/L1708)*100</f>
        <v>3.8461538461538463</v>
      </c>
      <c r="O1708" s="31">
        <v>1</v>
      </c>
      <c r="P1708" s="430">
        <f>SUM(O1708/L1708)*100</f>
        <v>3.8461538461538463</v>
      </c>
      <c r="R1708" s="547"/>
      <c r="T1708" s="547"/>
    </row>
    <row r="1709" spans="1:20" ht="12.75">
      <c r="A1709" s="11">
        <v>634002</v>
      </c>
      <c r="B1709" s="11" t="s">
        <v>17</v>
      </c>
      <c r="C1709" s="12"/>
      <c r="D1709" s="12"/>
      <c r="E1709" s="12"/>
      <c r="F1709" s="13"/>
      <c r="G1709" s="155">
        <v>34</v>
      </c>
      <c r="H1709" s="29">
        <v>25</v>
      </c>
      <c r="I1709" s="29">
        <v>25</v>
      </c>
      <c r="J1709" s="29">
        <v>0</v>
      </c>
      <c r="K1709" s="29">
        <v>25</v>
      </c>
      <c r="L1709" s="26">
        <v>25</v>
      </c>
      <c r="N1709" s="425"/>
      <c r="P1709" s="547"/>
      <c r="R1709" s="547"/>
      <c r="T1709" s="547"/>
    </row>
    <row r="1710" spans="1:20" ht="12.75">
      <c r="A1710" s="11">
        <v>634003</v>
      </c>
      <c r="B1710" s="11" t="s">
        <v>439</v>
      </c>
      <c r="C1710" s="12"/>
      <c r="D1710" s="12"/>
      <c r="E1710" s="12"/>
      <c r="F1710" s="13"/>
      <c r="G1710" s="155">
        <v>18</v>
      </c>
      <c r="H1710" s="29">
        <v>15</v>
      </c>
      <c r="I1710" s="29">
        <v>15</v>
      </c>
      <c r="J1710" s="29">
        <v>0</v>
      </c>
      <c r="K1710" s="29">
        <v>15</v>
      </c>
      <c r="L1710" s="26">
        <v>15</v>
      </c>
      <c r="N1710" s="425"/>
      <c r="P1710" s="547"/>
      <c r="R1710" s="547"/>
      <c r="T1710" s="547"/>
    </row>
    <row r="1711" spans="1:20" ht="12.75">
      <c r="A1711" s="11">
        <v>633010</v>
      </c>
      <c r="B1711" s="11" t="s">
        <v>18</v>
      </c>
      <c r="C1711" s="12"/>
      <c r="D1711" s="12"/>
      <c r="E1711" s="12"/>
      <c r="F1711" s="13"/>
      <c r="G1711" s="155">
        <v>60</v>
      </c>
      <c r="H1711" s="29">
        <v>10</v>
      </c>
      <c r="I1711" s="29">
        <v>10</v>
      </c>
      <c r="J1711" s="29">
        <v>0</v>
      </c>
      <c r="K1711" s="29">
        <v>10</v>
      </c>
      <c r="L1711" s="26">
        <v>10</v>
      </c>
      <c r="N1711" s="425"/>
      <c r="P1711" s="547"/>
      <c r="R1711" s="547"/>
      <c r="T1711" s="547"/>
    </row>
    <row r="1712" spans="1:20" ht="12.75">
      <c r="A1712" s="11">
        <v>637016</v>
      </c>
      <c r="B1712" s="11" t="s">
        <v>375</v>
      </c>
      <c r="C1712" s="12"/>
      <c r="D1712" s="12"/>
      <c r="E1712" s="12"/>
      <c r="F1712" s="13"/>
      <c r="G1712" s="155">
        <v>42</v>
      </c>
      <c r="H1712" s="29">
        <v>49</v>
      </c>
      <c r="I1712" s="29">
        <v>49</v>
      </c>
      <c r="J1712" s="29">
        <v>13</v>
      </c>
      <c r="K1712" s="29">
        <v>40</v>
      </c>
      <c r="L1712" s="29">
        <v>40</v>
      </c>
      <c r="M1712" s="31">
        <v>6</v>
      </c>
      <c r="N1712" s="430">
        <f>SUM(M1712/L1712)*100</f>
        <v>15</v>
      </c>
      <c r="O1712" s="31">
        <v>9</v>
      </c>
      <c r="P1712" s="430">
        <f>SUM(O1712/L1712)*100</f>
        <v>22.5</v>
      </c>
      <c r="Q1712" s="31">
        <v>14</v>
      </c>
      <c r="R1712" s="430">
        <f>SUM(Q1712/L1712)*100</f>
        <v>35</v>
      </c>
      <c r="S1712" s="31">
        <v>14</v>
      </c>
      <c r="T1712" s="430">
        <f>SUM(S1712/L1712)*100</f>
        <v>35</v>
      </c>
    </row>
    <row r="1713" spans="1:20" ht="12.75">
      <c r="A1713" s="11">
        <v>637018</v>
      </c>
      <c r="B1713" s="11" t="s">
        <v>376</v>
      </c>
      <c r="C1713" s="12"/>
      <c r="D1713" s="12"/>
      <c r="E1713" s="12"/>
      <c r="F1713" s="13"/>
      <c r="G1713" s="155">
        <v>146</v>
      </c>
      <c r="H1713" s="29"/>
      <c r="I1713" s="29"/>
      <c r="J1713" s="29"/>
      <c r="K1713" s="29"/>
      <c r="L1713" s="26"/>
      <c r="N1713" s="425"/>
      <c r="P1713" s="547"/>
      <c r="R1713" s="547"/>
      <c r="T1713" s="547"/>
    </row>
    <row r="1714" spans="1:20" ht="12.75">
      <c r="A1714" s="11">
        <v>637027</v>
      </c>
      <c r="B1714" s="11" t="s">
        <v>19</v>
      </c>
      <c r="C1714" s="12"/>
      <c r="D1714" s="12"/>
      <c r="E1714" s="12"/>
      <c r="F1714" s="13"/>
      <c r="G1714" s="155">
        <v>8</v>
      </c>
      <c r="H1714" s="29">
        <v>6</v>
      </c>
      <c r="I1714" s="29">
        <v>6</v>
      </c>
      <c r="J1714" s="29">
        <v>3</v>
      </c>
      <c r="K1714" s="29">
        <v>6</v>
      </c>
      <c r="L1714" s="29">
        <v>6</v>
      </c>
      <c r="M1714" s="31">
        <v>1</v>
      </c>
      <c r="N1714" s="430">
        <f>SUM(M1714/L1714)*100</f>
        <v>16.666666666666664</v>
      </c>
      <c r="O1714" s="31">
        <v>1</v>
      </c>
      <c r="P1714" s="430">
        <f>SUM(O1714/L1714)*100</f>
        <v>16.666666666666664</v>
      </c>
      <c r="Q1714" s="31">
        <v>9</v>
      </c>
      <c r="R1714" s="430">
        <f>SUM(Q1714/L1714)*100</f>
        <v>150</v>
      </c>
      <c r="S1714" s="31">
        <v>9</v>
      </c>
      <c r="T1714" s="430">
        <f>SUM(S1714/L1714)*100</f>
        <v>150</v>
      </c>
    </row>
    <row r="1715" spans="1:20" ht="12.75">
      <c r="A1715" s="11"/>
      <c r="B1715" s="11"/>
      <c r="C1715" s="12"/>
      <c r="D1715" s="12"/>
      <c r="E1715" s="12"/>
      <c r="F1715" s="13"/>
      <c r="G1715" s="155"/>
      <c r="H1715" s="29"/>
      <c r="I1715" s="29"/>
      <c r="J1715" s="29"/>
      <c r="K1715" s="29"/>
      <c r="L1715" s="26"/>
      <c r="N1715" s="425"/>
      <c r="P1715" s="547"/>
      <c r="R1715" s="547"/>
      <c r="T1715" s="547"/>
    </row>
    <row r="1716" spans="1:20" ht="12.75">
      <c r="A1716" s="199">
        <v>642</v>
      </c>
      <c r="B1716" s="300" t="s">
        <v>481</v>
      </c>
      <c r="C1716" s="12"/>
      <c r="D1716" s="12"/>
      <c r="E1716" s="12"/>
      <c r="F1716" s="13"/>
      <c r="G1716" s="298">
        <f aca="true" t="shared" si="256" ref="G1716:O1716">SUM(G1717)</f>
        <v>11</v>
      </c>
      <c r="H1716" s="50">
        <f t="shared" si="256"/>
        <v>10</v>
      </c>
      <c r="I1716" s="50">
        <f t="shared" si="256"/>
        <v>10</v>
      </c>
      <c r="J1716" s="50">
        <f t="shared" si="256"/>
        <v>8</v>
      </c>
      <c r="K1716" s="50">
        <f t="shared" si="256"/>
        <v>20</v>
      </c>
      <c r="L1716" s="50">
        <f t="shared" si="256"/>
        <v>20</v>
      </c>
      <c r="M1716" s="197">
        <f t="shared" si="256"/>
        <v>4</v>
      </c>
      <c r="N1716" s="433">
        <f>SUM(M1716/L1716)*100</f>
        <v>20</v>
      </c>
      <c r="O1716" s="197">
        <f t="shared" si="256"/>
        <v>8</v>
      </c>
      <c r="P1716" s="433">
        <f>SUM(O1716/L1716)*100</f>
        <v>40</v>
      </c>
      <c r="Q1716" s="399">
        <v>12</v>
      </c>
      <c r="R1716" s="433">
        <f>SUM(Q1716/L1716)*100</f>
        <v>60</v>
      </c>
      <c r="S1716" s="399">
        <v>12</v>
      </c>
      <c r="T1716" s="433">
        <f>SUM(S1716/L1716)*100</f>
        <v>60</v>
      </c>
    </row>
    <row r="1717" spans="1:20" ht="13.5" thickBot="1">
      <c r="A1717" s="18">
        <v>642015</v>
      </c>
      <c r="B1717" s="18" t="s">
        <v>418</v>
      </c>
      <c r="C1717" s="19"/>
      <c r="D1717" s="19"/>
      <c r="E1717" s="19"/>
      <c r="F1717" s="20"/>
      <c r="G1717" s="170">
        <v>11</v>
      </c>
      <c r="H1717" s="342">
        <v>10</v>
      </c>
      <c r="I1717" s="342">
        <v>10</v>
      </c>
      <c r="J1717" s="342">
        <v>8</v>
      </c>
      <c r="K1717" s="342">
        <v>20</v>
      </c>
      <c r="L1717" s="342">
        <v>20</v>
      </c>
      <c r="M1717" s="411">
        <v>4</v>
      </c>
      <c r="N1717" s="443">
        <f>SUM(M1717/L1717)*100</f>
        <v>20</v>
      </c>
      <c r="O1717" s="411">
        <v>8</v>
      </c>
      <c r="P1717" s="443">
        <f>SUM(O1717/L1717)*100</f>
        <v>40</v>
      </c>
      <c r="Q1717" s="411">
        <v>12</v>
      </c>
      <c r="R1717" s="443">
        <f>SUM(Q1717/L1717)*100</f>
        <v>60</v>
      </c>
      <c r="S1717" s="411">
        <v>12</v>
      </c>
      <c r="T1717" s="443">
        <f>SUM(S1717/L1717)*100</f>
        <v>60</v>
      </c>
    </row>
    <row r="1718" spans="1:12" ht="12.75">
      <c r="A1718" s="12"/>
      <c r="B1718" s="12"/>
      <c r="C1718" s="12"/>
      <c r="D1718" s="12"/>
      <c r="E1718" s="12"/>
      <c r="F1718" s="12"/>
      <c r="G1718" s="164"/>
      <c r="H1718" s="52"/>
      <c r="I1718" s="52"/>
      <c r="J1718" s="52"/>
      <c r="K1718" s="52"/>
      <c r="L1718" s="52"/>
    </row>
    <row r="1719" spans="1:12" ht="12.75">
      <c r="A1719" s="12" t="s">
        <v>722</v>
      </c>
      <c r="B1719" s="12"/>
      <c r="C1719" s="12"/>
      <c r="D1719" s="12"/>
      <c r="E1719" s="12"/>
      <c r="F1719" s="12"/>
      <c r="G1719" s="164"/>
      <c r="H1719" s="52"/>
      <c r="I1719" s="52"/>
      <c r="J1719" s="52"/>
      <c r="K1719" s="52"/>
      <c r="L1719" s="52"/>
    </row>
    <row r="1720" spans="1:12" ht="12.75">
      <c r="A1720" s="12" t="s">
        <v>723</v>
      </c>
      <c r="B1720" s="12"/>
      <c r="C1720" s="12"/>
      <c r="D1720" s="12"/>
      <c r="E1720" s="12"/>
      <c r="F1720" s="12"/>
      <c r="G1720" s="164"/>
      <c r="H1720" s="52"/>
      <c r="I1720" s="52"/>
      <c r="J1720" s="52"/>
      <c r="K1720" s="52"/>
      <c r="L1720" s="52"/>
    </row>
    <row r="1721" spans="1:12" ht="12.75">
      <c r="A1721" s="12" t="s">
        <v>724</v>
      </c>
      <c r="B1721" s="12"/>
      <c r="C1721" s="12"/>
      <c r="D1721" s="12"/>
      <c r="E1721" s="12"/>
      <c r="F1721" s="12"/>
      <c r="G1721" s="164"/>
      <c r="H1721" s="52"/>
      <c r="I1721" s="52"/>
      <c r="J1721" s="52"/>
      <c r="K1721" s="52"/>
      <c r="L1721" s="52"/>
    </row>
    <row r="1722" spans="1:12" ht="12.75">
      <c r="A1722" s="12"/>
      <c r="B1722" s="12"/>
      <c r="C1722" s="12"/>
      <c r="D1722" s="12"/>
      <c r="E1722" s="12"/>
      <c r="F1722" s="12"/>
      <c r="G1722" s="164"/>
      <c r="H1722" s="52"/>
      <c r="I1722" s="52"/>
      <c r="J1722" s="52"/>
      <c r="K1722" s="52"/>
      <c r="L1722" s="52"/>
    </row>
    <row r="1723" spans="1:12" ht="12.75">
      <c r="A1723" s="12"/>
      <c r="B1723" s="12"/>
      <c r="C1723" s="12"/>
      <c r="D1723" s="12"/>
      <c r="E1723" s="12"/>
      <c r="F1723" s="12"/>
      <c r="G1723" s="164"/>
      <c r="H1723" s="52"/>
      <c r="I1723" s="52"/>
      <c r="J1723" s="52"/>
      <c r="K1723" s="52"/>
      <c r="L1723" s="52"/>
    </row>
    <row r="1724" spans="1:12" ht="12.75">
      <c r="A1724" s="12"/>
      <c r="B1724" s="12"/>
      <c r="C1724" s="12"/>
      <c r="D1724" s="12"/>
      <c r="E1724" s="12"/>
      <c r="F1724" s="12"/>
      <c r="G1724" s="164"/>
      <c r="H1724" s="52"/>
      <c r="I1724" s="52"/>
      <c r="J1724" s="52"/>
      <c r="K1724" s="52"/>
      <c r="L1724" s="52"/>
    </row>
    <row r="1725" spans="1:14" ht="12.75">
      <c r="A1725" s="12"/>
      <c r="B1725" s="12"/>
      <c r="C1725" s="12"/>
      <c r="D1725" s="12"/>
      <c r="E1725" s="12"/>
      <c r="F1725" s="12"/>
      <c r="G1725" s="162"/>
      <c r="H1725" s="55"/>
      <c r="I1725" s="12"/>
      <c r="J1725" s="12"/>
      <c r="K1725" s="55"/>
      <c r="L1725" s="52"/>
      <c r="M1725" s="52"/>
      <c r="N1725" s="428"/>
    </row>
    <row r="1726" spans="1:11" ht="13.5" thickBot="1">
      <c r="A1726" s="12"/>
      <c r="B1726" s="12"/>
      <c r="C1726" s="12"/>
      <c r="D1726" s="12"/>
      <c r="E1726" s="12"/>
      <c r="F1726" s="12"/>
      <c r="G1726" s="162"/>
      <c r="I1726" s="12"/>
      <c r="J1726" s="12"/>
      <c r="K1726" s="12"/>
    </row>
    <row r="1727" spans="1:20" ht="13.5" thickBot="1">
      <c r="A1727" s="177" t="s">
        <v>44</v>
      </c>
      <c r="B1727" s="178"/>
      <c r="C1727" s="178"/>
      <c r="D1727" s="179"/>
      <c r="E1727" s="179"/>
      <c r="F1727" s="179"/>
      <c r="G1727" s="15" t="s">
        <v>23</v>
      </c>
      <c r="H1727" s="136"/>
      <c r="I1727" s="137" t="s">
        <v>395</v>
      </c>
      <c r="J1727" s="216"/>
      <c r="K1727" s="10" t="s">
        <v>25</v>
      </c>
      <c r="L1727" s="238" t="s">
        <v>645</v>
      </c>
      <c r="M1727" s="403" t="s">
        <v>296</v>
      </c>
      <c r="N1727" s="426" t="s">
        <v>684</v>
      </c>
      <c r="O1727" s="403" t="s">
        <v>296</v>
      </c>
      <c r="P1727" s="426" t="s">
        <v>683</v>
      </c>
      <c r="Q1727" s="403" t="s">
        <v>296</v>
      </c>
      <c r="R1727" s="426" t="s">
        <v>681</v>
      </c>
      <c r="S1727" s="403" t="s">
        <v>296</v>
      </c>
      <c r="T1727" s="421" t="s">
        <v>681</v>
      </c>
    </row>
    <row r="1728" spans="1:20" ht="16.5" thickTop="1">
      <c r="A1728" s="365" t="s">
        <v>212</v>
      </c>
      <c r="B1728" s="278" t="s">
        <v>213</v>
      </c>
      <c r="C1728" s="182"/>
      <c r="D1728" s="12"/>
      <c r="E1728" s="12"/>
      <c r="F1728" s="12"/>
      <c r="G1728" s="33" t="s">
        <v>45</v>
      </c>
      <c r="H1728" s="32" t="s">
        <v>27</v>
      </c>
      <c r="I1728" s="6" t="s">
        <v>92</v>
      </c>
      <c r="J1728" s="108" t="s">
        <v>29</v>
      </c>
      <c r="K1728" s="33" t="s">
        <v>46</v>
      </c>
      <c r="L1728" s="208"/>
      <c r="M1728" s="25" t="s">
        <v>297</v>
      </c>
      <c r="N1728" s="425"/>
      <c r="O1728" s="25" t="s">
        <v>750</v>
      </c>
      <c r="P1728" s="547"/>
      <c r="Q1728" s="25" t="s">
        <v>896</v>
      </c>
      <c r="R1728" s="547"/>
      <c r="S1728" s="25" t="s">
        <v>957</v>
      </c>
      <c r="T1728" s="422"/>
    </row>
    <row r="1729" spans="1:20" ht="16.5" thickBot="1">
      <c r="A1729" s="183"/>
      <c r="B1729" s="277" t="s">
        <v>20</v>
      </c>
      <c r="C1729" s="185"/>
      <c r="D1729" s="37"/>
      <c r="E1729" s="37"/>
      <c r="F1729" s="37"/>
      <c r="G1729" s="83"/>
      <c r="H1729" s="84">
        <v>38335</v>
      </c>
      <c r="I1729" s="148">
        <v>38587</v>
      </c>
      <c r="J1729" s="110" t="s">
        <v>31</v>
      </c>
      <c r="K1729" s="33" t="s">
        <v>32</v>
      </c>
      <c r="L1729" s="242"/>
      <c r="M1729" s="404"/>
      <c r="N1729" s="429"/>
      <c r="O1729" s="404"/>
      <c r="P1729" s="548"/>
      <c r="Q1729" s="404"/>
      <c r="R1729" s="548"/>
      <c r="S1729" s="404"/>
      <c r="T1729" s="423"/>
    </row>
    <row r="1730" spans="1:20" ht="13.5" thickBot="1">
      <c r="A1730" s="186" t="s">
        <v>47</v>
      </c>
      <c r="B1730" s="187"/>
      <c r="C1730" s="39"/>
      <c r="D1730" s="347" t="s">
        <v>48</v>
      </c>
      <c r="E1730" s="19"/>
      <c r="F1730" s="19"/>
      <c r="G1730" s="152">
        <v>1</v>
      </c>
      <c r="H1730" s="41">
        <v>2</v>
      </c>
      <c r="I1730" s="188">
        <v>3</v>
      </c>
      <c r="J1730" s="22">
        <v>4</v>
      </c>
      <c r="K1730" s="40">
        <v>1</v>
      </c>
      <c r="L1730" s="599">
        <v>1</v>
      </c>
      <c r="M1730" s="409"/>
      <c r="N1730" s="424"/>
      <c r="P1730" s="547"/>
      <c r="R1730" s="556"/>
      <c r="T1730" s="556"/>
    </row>
    <row r="1731" spans="1:22" s="28" customFormat="1" ht="15">
      <c r="A1731" s="444"/>
      <c r="B1731" s="445" t="s">
        <v>228</v>
      </c>
      <c r="C1731" s="373"/>
      <c r="D1731" s="373"/>
      <c r="E1731" s="373"/>
      <c r="F1731" s="446"/>
      <c r="G1731" s="452">
        <v>681</v>
      </c>
      <c r="H1731" s="450">
        <f aca="true" t="shared" si="257" ref="H1731:S1731">H1733+H1735+H1737+H1742</f>
        <v>341</v>
      </c>
      <c r="I1731" s="467">
        <f t="shared" si="257"/>
        <v>487</v>
      </c>
      <c r="J1731" s="467">
        <f t="shared" si="257"/>
        <v>283</v>
      </c>
      <c r="K1731" s="467">
        <f t="shared" si="257"/>
        <v>721</v>
      </c>
      <c r="L1731" s="390">
        <f t="shared" si="257"/>
        <v>718</v>
      </c>
      <c r="M1731" s="445">
        <f t="shared" si="257"/>
        <v>73</v>
      </c>
      <c r="N1731" s="440">
        <f>SUM(M1731/L1731)*100</f>
        <v>10.167130919220057</v>
      </c>
      <c r="O1731" s="392">
        <f t="shared" si="257"/>
        <v>107</v>
      </c>
      <c r="P1731" s="567">
        <f>SUM(O1731/L1731)*100</f>
        <v>14.902506963788301</v>
      </c>
      <c r="Q1731" s="392">
        <f t="shared" si="257"/>
        <v>181</v>
      </c>
      <c r="R1731" s="567">
        <f>SUM(Q1731/L1731)*100</f>
        <v>25.20891364902507</v>
      </c>
      <c r="S1731" s="392">
        <f t="shared" si="257"/>
        <v>185</v>
      </c>
      <c r="T1731" s="567">
        <f>SUM(S1731/L1731)*100</f>
        <v>25.766016713091922</v>
      </c>
      <c r="U1731" s="783"/>
      <c r="V1731" s="783"/>
    </row>
    <row r="1732" spans="1:20" ht="12.75">
      <c r="A1732" s="11"/>
      <c r="B1732" s="11"/>
      <c r="C1732" s="12"/>
      <c r="D1732" s="12"/>
      <c r="E1732" s="12"/>
      <c r="F1732" s="13"/>
      <c r="G1732" s="251"/>
      <c r="H1732" s="14"/>
      <c r="I1732" s="13"/>
      <c r="J1732" s="13"/>
      <c r="K1732" s="13"/>
      <c r="L1732" s="26"/>
      <c r="N1732" s="425"/>
      <c r="P1732" s="547"/>
      <c r="R1732" s="547"/>
      <c r="T1732" s="547"/>
    </row>
    <row r="1733" spans="1:20" ht="12.75">
      <c r="A1733" s="199">
        <v>610</v>
      </c>
      <c r="B1733" s="199" t="s">
        <v>3</v>
      </c>
      <c r="C1733" s="49"/>
      <c r="D1733" s="12"/>
      <c r="E1733" s="12"/>
      <c r="F1733" s="13"/>
      <c r="G1733" s="366">
        <v>478</v>
      </c>
      <c r="H1733" s="66">
        <v>224</v>
      </c>
      <c r="I1733" s="48">
        <f>334</f>
        <v>334</v>
      </c>
      <c r="J1733" s="48">
        <v>192</v>
      </c>
      <c r="K1733" s="48">
        <v>484</v>
      </c>
      <c r="L1733" s="319">
        <v>484</v>
      </c>
      <c r="M1733" s="399">
        <v>50</v>
      </c>
      <c r="N1733" s="433">
        <f>SUM(M1733/L1733)*100</f>
        <v>10.330578512396695</v>
      </c>
      <c r="O1733" s="399">
        <v>73</v>
      </c>
      <c r="P1733" s="433">
        <f>SUM(O1733/L1733)*100</f>
        <v>15.082644628099173</v>
      </c>
      <c r="Q1733" s="399">
        <v>122</v>
      </c>
      <c r="R1733" s="433">
        <f>SUM(Q1733/L1733)*100</f>
        <v>25.206611570247933</v>
      </c>
      <c r="S1733" s="399">
        <v>122</v>
      </c>
      <c r="T1733" s="433">
        <f>SUM(S1733/L1733)*100</f>
        <v>25.206611570247933</v>
      </c>
    </row>
    <row r="1734" spans="1:20" ht="12.75">
      <c r="A1734" s="11"/>
      <c r="B1734" s="11"/>
      <c r="C1734" s="12"/>
      <c r="D1734" s="12"/>
      <c r="E1734" s="12"/>
      <c r="F1734" s="13"/>
      <c r="G1734" s="251"/>
      <c r="H1734" s="14"/>
      <c r="I1734" s="13"/>
      <c r="J1734" s="13"/>
      <c r="K1734" s="13"/>
      <c r="L1734" s="29"/>
      <c r="N1734" s="425"/>
      <c r="P1734" s="547"/>
      <c r="R1734" s="547"/>
      <c r="T1734" s="547"/>
    </row>
    <row r="1735" spans="1:20" ht="12.75">
      <c r="A1735" s="199">
        <v>620</v>
      </c>
      <c r="B1735" s="199" t="s">
        <v>424</v>
      </c>
      <c r="C1735" s="12"/>
      <c r="D1735" s="12"/>
      <c r="E1735" s="12"/>
      <c r="F1735" s="13"/>
      <c r="G1735" s="366">
        <v>163</v>
      </c>
      <c r="H1735" s="66">
        <v>79</v>
      </c>
      <c r="I1735" s="48">
        <v>115</v>
      </c>
      <c r="J1735" s="48">
        <v>67</v>
      </c>
      <c r="K1735" s="48">
        <v>174</v>
      </c>
      <c r="L1735" s="319">
        <v>169</v>
      </c>
      <c r="M1735" s="399">
        <v>17</v>
      </c>
      <c r="N1735" s="433">
        <f>SUM(M1735/L1735)*100</f>
        <v>10.059171597633137</v>
      </c>
      <c r="O1735" s="399">
        <v>26</v>
      </c>
      <c r="P1735" s="433">
        <f>SUM(O1735/L1735)*100</f>
        <v>15.384615384615385</v>
      </c>
      <c r="Q1735" s="399">
        <v>43</v>
      </c>
      <c r="R1735" s="433">
        <f>SUM(Q1735/L1735)*100</f>
        <v>25.443786982248522</v>
      </c>
      <c r="S1735" s="399">
        <v>43</v>
      </c>
      <c r="T1735" s="433">
        <f>SUM(S1735/L1735)*100</f>
        <v>25.443786982248522</v>
      </c>
    </row>
    <row r="1736" spans="1:20" ht="12.75">
      <c r="A1736" s="11"/>
      <c r="B1736" s="11"/>
      <c r="C1736" s="12"/>
      <c r="D1736" s="12"/>
      <c r="E1736" s="12"/>
      <c r="F1736" s="13"/>
      <c r="G1736" s="251"/>
      <c r="H1736" s="14"/>
      <c r="I1736" s="13"/>
      <c r="J1736" s="13"/>
      <c r="K1736" s="13"/>
      <c r="L1736" s="26"/>
      <c r="N1736" s="425"/>
      <c r="P1736" s="547"/>
      <c r="R1736" s="547"/>
      <c r="T1736" s="547"/>
    </row>
    <row r="1737" spans="1:20" ht="12.75">
      <c r="A1737" s="199">
        <v>630</v>
      </c>
      <c r="B1737" s="199" t="s">
        <v>506</v>
      </c>
      <c r="C1737" s="12"/>
      <c r="D1737" s="12"/>
      <c r="E1737" s="12"/>
      <c r="F1737" s="13"/>
      <c r="G1737" s="366">
        <f>SUM(G1738:G1740)</f>
        <v>40</v>
      </c>
      <c r="H1737" s="198">
        <f>SUM(H1738:H1740)</f>
        <v>34</v>
      </c>
      <c r="I1737" s="253">
        <f>SUM(I1738:I1740)</f>
        <v>34</v>
      </c>
      <c r="J1737" s="253">
        <f>SUM(J1738:J1740)</f>
        <v>24</v>
      </c>
      <c r="K1737" s="253">
        <f>SUM(K1738:K1739)</f>
        <v>59</v>
      </c>
      <c r="L1737" s="319">
        <f>SUM(L1738:L1739)</f>
        <v>60</v>
      </c>
      <c r="M1737" s="49">
        <f>SUM(M1738:M1739)</f>
        <v>6</v>
      </c>
      <c r="N1737" s="433">
        <f>SUM(M1737/L1737)*100</f>
        <v>10</v>
      </c>
      <c r="O1737" s="51">
        <f>SUM(O1738:O1739)</f>
        <v>8</v>
      </c>
      <c r="P1737" s="433">
        <f>SUM(O1737/L1737)*100</f>
        <v>13.333333333333334</v>
      </c>
      <c r="Q1737" s="51">
        <f>SUM(Q1738:Q1739)</f>
        <v>16</v>
      </c>
      <c r="R1737" s="433">
        <f>SUM(Q1737/L1737)*100</f>
        <v>26.666666666666668</v>
      </c>
      <c r="S1737" s="51">
        <f>SUM(S1738:S1739)</f>
        <v>20</v>
      </c>
      <c r="T1737" s="433">
        <f>SUM(S1737/L1737)*100</f>
        <v>33.33333333333333</v>
      </c>
    </row>
    <row r="1738" spans="1:20" ht="12.75">
      <c r="A1738" s="11">
        <v>637014</v>
      </c>
      <c r="B1738" s="11" t="s">
        <v>373</v>
      </c>
      <c r="C1738" s="12"/>
      <c r="D1738" s="12"/>
      <c r="E1738" s="12"/>
      <c r="F1738" s="13"/>
      <c r="G1738" s="251">
        <v>35</v>
      </c>
      <c r="H1738" s="14">
        <v>30</v>
      </c>
      <c r="I1738" s="13">
        <v>30</v>
      </c>
      <c r="J1738" s="13">
        <v>23</v>
      </c>
      <c r="K1738" s="13">
        <v>54</v>
      </c>
      <c r="L1738" s="29">
        <v>55</v>
      </c>
      <c r="M1738" s="31">
        <v>5</v>
      </c>
      <c r="N1738" s="430">
        <f>SUM(M1738/L1738)*100</f>
        <v>9.090909090909092</v>
      </c>
      <c r="O1738" s="31">
        <v>7</v>
      </c>
      <c r="P1738" s="430">
        <f>SUM(O1738/L1738)*100</f>
        <v>12.727272727272727</v>
      </c>
      <c r="Q1738" s="31">
        <v>15</v>
      </c>
      <c r="R1738" s="430">
        <f>SUM(Q1738/L1738)*100</f>
        <v>27.27272727272727</v>
      </c>
      <c r="S1738" s="31">
        <v>19</v>
      </c>
      <c r="T1738" s="430">
        <f>SUM(S1738/L1738)*100</f>
        <v>34.54545454545455</v>
      </c>
    </row>
    <row r="1739" spans="1:20" ht="12.75">
      <c r="A1739" s="11">
        <v>637016</v>
      </c>
      <c r="B1739" s="11" t="s">
        <v>375</v>
      </c>
      <c r="C1739" s="12"/>
      <c r="D1739" s="12"/>
      <c r="E1739" s="12"/>
      <c r="F1739" s="13"/>
      <c r="G1739" s="251">
        <v>5</v>
      </c>
      <c r="H1739" s="14">
        <f>3+1</f>
        <v>4</v>
      </c>
      <c r="I1739" s="13">
        <f>3+1</f>
        <v>4</v>
      </c>
      <c r="J1739" s="13">
        <v>1</v>
      </c>
      <c r="K1739" s="13">
        <v>5</v>
      </c>
      <c r="L1739" s="29">
        <v>5</v>
      </c>
      <c r="M1739" s="31">
        <v>1</v>
      </c>
      <c r="N1739" s="430">
        <f>SUM(M1739/L1739)*100</f>
        <v>20</v>
      </c>
      <c r="O1739" s="31">
        <v>1</v>
      </c>
      <c r="P1739" s="430">
        <f>SUM(O1739/L1739)*100</f>
        <v>20</v>
      </c>
      <c r="Q1739" s="31">
        <v>1</v>
      </c>
      <c r="R1739" s="430">
        <f>SUM(Q1739/L1739)*100</f>
        <v>20</v>
      </c>
      <c r="S1739" s="31">
        <v>1</v>
      </c>
      <c r="T1739" s="430">
        <f>SUM(S1739/L1739)*100</f>
        <v>20</v>
      </c>
    </row>
    <row r="1740" spans="1:20" ht="12.75">
      <c r="A1740" s="11">
        <v>637027</v>
      </c>
      <c r="B1740" s="11" t="s">
        <v>19</v>
      </c>
      <c r="C1740" s="12"/>
      <c r="D1740" s="12"/>
      <c r="E1740" s="12"/>
      <c r="F1740" s="13"/>
      <c r="G1740" s="251">
        <v>0</v>
      </c>
      <c r="H1740" s="14">
        <v>0</v>
      </c>
      <c r="I1740" s="13">
        <v>0</v>
      </c>
      <c r="J1740" s="13">
        <v>0</v>
      </c>
      <c r="K1740" s="13">
        <v>0</v>
      </c>
      <c r="L1740" s="29">
        <v>0</v>
      </c>
      <c r="N1740" s="425"/>
      <c r="P1740" s="547"/>
      <c r="R1740" s="547"/>
      <c r="T1740" s="547"/>
    </row>
    <row r="1741" spans="1:20" ht="12.75">
      <c r="A1741" s="11"/>
      <c r="B1741" s="11"/>
      <c r="C1741" s="12"/>
      <c r="D1741" s="12"/>
      <c r="E1741" s="12"/>
      <c r="F1741" s="13"/>
      <c r="G1741" s="251"/>
      <c r="H1741" s="14"/>
      <c r="I1741" s="13"/>
      <c r="J1741" s="13"/>
      <c r="K1741" s="13"/>
      <c r="L1741" s="29"/>
      <c r="N1741" s="425"/>
      <c r="P1741" s="547"/>
      <c r="R1741" s="547"/>
      <c r="T1741" s="547"/>
    </row>
    <row r="1742" spans="1:20" ht="12.75">
      <c r="A1742" s="199">
        <v>642</v>
      </c>
      <c r="B1742" s="300" t="s">
        <v>481</v>
      </c>
      <c r="C1742" s="12"/>
      <c r="D1742" s="12"/>
      <c r="E1742" s="12"/>
      <c r="F1742" s="13"/>
      <c r="G1742" s="366">
        <v>1</v>
      </c>
      <c r="H1742" s="198">
        <f>SUM(H1743)</f>
        <v>4</v>
      </c>
      <c r="I1742" s="253">
        <f>SUM(I1743)</f>
        <v>4</v>
      </c>
      <c r="J1742" s="253">
        <f>SUM(J1743)</f>
        <v>0</v>
      </c>
      <c r="K1742" s="253">
        <f>SUM(K1743)</f>
        <v>4</v>
      </c>
      <c r="L1742" s="319">
        <f>SUM(L1743)</f>
        <v>5</v>
      </c>
      <c r="N1742" s="425"/>
      <c r="P1742" s="547"/>
      <c r="R1742" s="547"/>
      <c r="T1742" s="547"/>
    </row>
    <row r="1743" spans="1:20" ht="13.5" thickBot="1">
      <c r="A1743" s="18">
        <v>642015</v>
      </c>
      <c r="B1743" s="18" t="s">
        <v>418</v>
      </c>
      <c r="C1743" s="19"/>
      <c r="D1743" s="19"/>
      <c r="E1743" s="19"/>
      <c r="F1743" s="20"/>
      <c r="G1743" s="367">
        <v>1</v>
      </c>
      <c r="H1743" s="21">
        <f>2+2</f>
        <v>4</v>
      </c>
      <c r="I1743" s="20">
        <f>2+2</f>
        <v>4</v>
      </c>
      <c r="J1743" s="20">
        <v>0</v>
      </c>
      <c r="K1743" s="20">
        <v>4</v>
      </c>
      <c r="L1743" s="342">
        <v>5</v>
      </c>
      <c r="M1743" s="411"/>
      <c r="N1743" s="429"/>
      <c r="O1743" s="411"/>
      <c r="P1743" s="548"/>
      <c r="Q1743" s="411"/>
      <c r="R1743" s="548"/>
      <c r="S1743" s="411"/>
      <c r="T1743" s="548"/>
    </row>
    <row r="1744" spans="1:14" ht="12.75">
      <c r="A1744" s="12"/>
      <c r="B1744" s="12"/>
      <c r="C1744" s="12"/>
      <c r="D1744" s="12"/>
      <c r="E1744" s="12"/>
      <c r="F1744" s="12"/>
      <c r="G1744" s="162"/>
      <c r="H1744" s="55"/>
      <c r="I1744" s="12"/>
      <c r="J1744" s="12"/>
      <c r="K1744" s="55"/>
      <c r="L1744" s="52"/>
      <c r="M1744" s="52"/>
      <c r="N1744" s="428"/>
    </row>
    <row r="1745" spans="1:12" ht="12.75">
      <c r="A1745" s="12" t="s">
        <v>722</v>
      </c>
      <c r="B1745" s="12"/>
      <c r="C1745" s="12"/>
      <c r="D1745" s="12"/>
      <c r="E1745" s="12"/>
      <c r="F1745" s="12"/>
      <c r="G1745" s="164"/>
      <c r="H1745" s="52"/>
      <c r="I1745" s="52"/>
      <c r="J1745" s="52"/>
      <c r="K1745" s="52"/>
      <c r="L1745" s="52"/>
    </row>
    <row r="1746" spans="1:12" ht="12.75">
      <c r="A1746" s="12" t="s">
        <v>723</v>
      </c>
      <c r="B1746" s="12"/>
      <c r="C1746" s="12"/>
      <c r="D1746" s="12"/>
      <c r="E1746" s="12"/>
      <c r="F1746" s="12"/>
      <c r="G1746" s="164"/>
      <c r="H1746" s="52"/>
      <c r="I1746" s="52"/>
      <c r="J1746" s="52"/>
      <c r="K1746" s="52"/>
      <c r="L1746" s="52"/>
    </row>
    <row r="1747" spans="1:12" ht="12.75">
      <c r="A1747" s="12"/>
      <c r="B1747" s="12"/>
      <c r="C1747" s="12"/>
      <c r="D1747" s="12"/>
      <c r="E1747" s="12"/>
      <c r="F1747" s="12"/>
      <c r="G1747" s="164"/>
      <c r="H1747" s="52"/>
      <c r="I1747" s="52"/>
      <c r="J1747" s="52"/>
      <c r="K1747" s="52"/>
      <c r="L1747" s="52"/>
    </row>
    <row r="1748" spans="1:12" ht="13.5" thickBot="1">
      <c r="A1748" s="12"/>
      <c r="B1748" s="12"/>
      <c r="C1748" s="12"/>
      <c r="D1748" s="12"/>
      <c r="E1748" s="12"/>
      <c r="F1748" s="12"/>
      <c r="G1748" s="164"/>
      <c r="H1748" s="52"/>
      <c r="I1748" s="52"/>
      <c r="J1748" s="52"/>
      <c r="K1748" s="52"/>
      <c r="L1748" s="52"/>
    </row>
    <row r="1749" spans="1:20" ht="13.5" thickBot="1">
      <c r="A1749" s="177" t="s">
        <v>44</v>
      </c>
      <c r="B1749" s="178"/>
      <c r="C1749" s="178"/>
      <c r="D1749" s="179"/>
      <c r="E1749" s="179"/>
      <c r="F1749" s="179"/>
      <c r="G1749" s="15" t="s">
        <v>23</v>
      </c>
      <c r="H1749" s="136"/>
      <c r="I1749" s="137" t="s">
        <v>395</v>
      </c>
      <c r="J1749" s="216"/>
      <c r="K1749" s="10" t="s">
        <v>25</v>
      </c>
      <c r="L1749" s="238" t="s">
        <v>645</v>
      </c>
      <c r="M1749" s="403" t="s">
        <v>296</v>
      </c>
      <c r="N1749" s="426" t="s">
        <v>684</v>
      </c>
      <c r="O1749" s="403" t="s">
        <v>296</v>
      </c>
      <c r="P1749" s="426" t="s">
        <v>683</v>
      </c>
      <c r="Q1749" s="403" t="s">
        <v>296</v>
      </c>
      <c r="R1749" s="426" t="s">
        <v>681</v>
      </c>
      <c r="S1749" s="403" t="s">
        <v>296</v>
      </c>
      <c r="T1749" s="421" t="s">
        <v>681</v>
      </c>
    </row>
    <row r="1750" spans="1:20" ht="16.5" thickTop="1">
      <c r="A1750" s="365" t="s">
        <v>216</v>
      </c>
      <c r="B1750" s="278" t="s">
        <v>217</v>
      </c>
      <c r="C1750" s="182"/>
      <c r="D1750" s="12"/>
      <c r="E1750" s="12"/>
      <c r="F1750" s="12"/>
      <c r="G1750" s="11" t="s">
        <v>45</v>
      </c>
      <c r="H1750" s="32" t="s">
        <v>27</v>
      </c>
      <c r="I1750" s="6" t="s">
        <v>92</v>
      </c>
      <c r="J1750" s="108" t="s">
        <v>29</v>
      </c>
      <c r="K1750" s="33" t="s">
        <v>46</v>
      </c>
      <c r="L1750" s="208"/>
      <c r="M1750" s="25" t="s">
        <v>297</v>
      </c>
      <c r="N1750" s="425"/>
      <c r="O1750" s="25" t="s">
        <v>750</v>
      </c>
      <c r="P1750" s="547"/>
      <c r="Q1750" s="25" t="s">
        <v>896</v>
      </c>
      <c r="R1750" s="547"/>
      <c r="S1750" s="25" t="s">
        <v>957</v>
      </c>
      <c r="T1750" s="422"/>
    </row>
    <row r="1751" spans="1:20" ht="16.5" thickBot="1">
      <c r="A1751" s="183"/>
      <c r="B1751" s="277" t="s">
        <v>20</v>
      </c>
      <c r="C1751" s="185"/>
      <c r="D1751" s="37"/>
      <c r="E1751" s="37"/>
      <c r="F1751" s="37"/>
      <c r="G1751" s="83"/>
      <c r="H1751" s="84">
        <v>38335</v>
      </c>
      <c r="I1751" s="148">
        <v>38587</v>
      </c>
      <c r="J1751" s="110" t="s">
        <v>31</v>
      </c>
      <c r="K1751" s="33" t="s">
        <v>32</v>
      </c>
      <c r="L1751" s="242"/>
      <c r="M1751" s="404"/>
      <c r="N1751" s="429"/>
      <c r="O1751" s="404"/>
      <c r="P1751" s="548"/>
      <c r="Q1751" s="404"/>
      <c r="R1751" s="548"/>
      <c r="S1751" s="404"/>
      <c r="T1751" s="423"/>
    </row>
    <row r="1752" spans="1:20" ht="13.5" thickBot="1">
      <c r="A1752" s="186" t="s">
        <v>47</v>
      </c>
      <c r="B1752" s="187"/>
      <c r="C1752" s="39"/>
      <c r="D1752" s="347" t="s">
        <v>48</v>
      </c>
      <c r="E1752" s="19"/>
      <c r="F1752" s="19"/>
      <c r="G1752" s="152">
        <v>1</v>
      </c>
      <c r="H1752" s="41">
        <v>2</v>
      </c>
      <c r="I1752" s="188">
        <v>3</v>
      </c>
      <c r="J1752" s="22">
        <v>4</v>
      </c>
      <c r="K1752" s="40">
        <v>1</v>
      </c>
      <c r="L1752" s="599">
        <v>1</v>
      </c>
      <c r="M1752" s="409"/>
      <c r="N1752" s="424"/>
      <c r="P1752" s="547"/>
      <c r="R1752" s="556"/>
      <c r="T1752" s="556"/>
    </row>
    <row r="1753" spans="1:22" s="28" customFormat="1" ht="15">
      <c r="A1753" s="444"/>
      <c r="B1753" s="445" t="s">
        <v>228</v>
      </c>
      <c r="C1753" s="373"/>
      <c r="D1753" s="373"/>
      <c r="E1753" s="373"/>
      <c r="F1753" s="446"/>
      <c r="G1753" s="451">
        <f>G1755+G1757+G1759</f>
        <v>6</v>
      </c>
      <c r="H1753" s="371">
        <f aca="true" t="shared" si="258" ref="H1753:S1753">H1755+H1757+H1759+H1763</f>
        <v>23</v>
      </c>
      <c r="I1753" s="460">
        <f t="shared" si="258"/>
        <v>23</v>
      </c>
      <c r="J1753" s="460">
        <f t="shared" si="258"/>
        <v>19</v>
      </c>
      <c r="K1753" s="460">
        <f t="shared" si="258"/>
        <v>162</v>
      </c>
      <c r="L1753" s="390">
        <f t="shared" si="258"/>
        <v>164</v>
      </c>
      <c r="M1753" s="445">
        <f t="shared" si="258"/>
        <v>14</v>
      </c>
      <c r="N1753" s="440">
        <f>SUM(M1753/L1753)*100</f>
        <v>8.536585365853659</v>
      </c>
      <c r="O1753" s="392">
        <f t="shared" si="258"/>
        <v>21</v>
      </c>
      <c r="P1753" s="567">
        <f>SUM(O1753/L1753)*100</f>
        <v>12.804878048780488</v>
      </c>
      <c r="Q1753" s="392">
        <f t="shared" si="258"/>
        <v>31</v>
      </c>
      <c r="R1753" s="567">
        <f>SUM(Q1753/L1753)*100</f>
        <v>18.902439024390244</v>
      </c>
      <c r="S1753" s="392">
        <f t="shared" si="258"/>
        <v>32</v>
      </c>
      <c r="T1753" s="567">
        <f>SUM(S1753/L1753)*100</f>
        <v>19.51219512195122</v>
      </c>
      <c r="U1753" s="783"/>
      <c r="V1753" s="783"/>
    </row>
    <row r="1754" spans="1:20" ht="12.75">
      <c r="A1754" s="11"/>
      <c r="B1754" s="11"/>
      <c r="C1754" s="12"/>
      <c r="D1754" s="12"/>
      <c r="E1754" s="12"/>
      <c r="F1754" s="13"/>
      <c r="G1754" s="162"/>
      <c r="H1754" s="14"/>
      <c r="I1754" s="13"/>
      <c r="J1754" s="13"/>
      <c r="K1754" s="13"/>
      <c r="L1754" s="26"/>
      <c r="N1754" s="425"/>
      <c r="P1754" s="547"/>
      <c r="R1754" s="547"/>
      <c r="T1754" s="547"/>
    </row>
    <row r="1755" spans="1:20" ht="12.75">
      <c r="A1755" s="199">
        <v>610</v>
      </c>
      <c r="B1755" s="199" t="s">
        <v>3</v>
      </c>
      <c r="C1755" s="49"/>
      <c r="D1755" s="12"/>
      <c r="E1755" s="12"/>
      <c r="F1755" s="13"/>
      <c r="G1755" s="368">
        <v>4</v>
      </c>
      <c r="H1755" s="66">
        <f>32-22</f>
        <v>10</v>
      </c>
      <c r="I1755" s="48">
        <f>32-22</f>
        <v>10</v>
      </c>
      <c r="J1755" s="48">
        <v>13</v>
      </c>
      <c r="K1755" s="48">
        <v>103</v>
      </c>
      <c r="L1755" s="319">
        <v>103</v>
      </c>
      <c r="M1755" s="399">
        <v>9</v>
      </c>
      <c r="N1755" s="433">
        <f>SUM(M1755/L1755)*100</f>
        <v>8.737864077669903</v>
      </c>
      <c r="O1755" s="399">
        <v>13</v>
      </c>
      <c r="P1755" s="433">
        <f>SUM(O1755/L1755)*100</f>
        <v>12.62135922330097</v>
      </c>
      <c r="Q1755" s="399">
        <v>20</v>
      </c>
      <c r="R1755" s="433">
        <f>SUM(Q1755/L1755)*100</f>
        <v>19.41747572815534</v>
      </c>
      <c r="S1755" s="399">
        <v>20</v>
      </c>
      <c r="T1755" s="433">
        <f>SUM(S1755/L1755)*100</f>
        <v>19.41747572815534</v>
      </c>
    </row>
    <row r="1756" spans="1:20" ht="12.75">
      <c r="A1756" s="11"/>
      <c r="B1756" s="11"/>
      <c r="C1756" s="12"/>
      <c r="D1756" s="12"/>
      <c r="E1756" s="12"/>
      <c r="F1756" s="13"/>
      <c r="G1756" s="162"/>
      <c r="H1756" s="14"/>
      <c r="I1756" s="13"/>
      <c r="J1756" s="13"/>
      <c r="K1756" s="13"/>
      <c r="L1756" s="29"/>
      <c r="N1756" s="425"/>
      <c r="P1756" s="547"/>
      <c r="R1756" s="547"/>
      <c r="T1756" s="547"/>
    </row>
    <row r="1757" spans="1:20" ht="12.75">
      <c r="A1757" s="199">
        <v>620</v>
      </c>
      <c r="B1757" s="199" t="s">
        <v>4</v>
      </c>
      <c r="C1757" s="12"/>
      <c r="D1757" s="12"/>
      <c r="E1757" s="12"/>
      <c r="F1757" s="13"/>
      <c r="G1757" s="368">
        <v>2</v>
      </c>
      <c r="H1757" s="66">
        <f>11-8</f>
        <v>3</v>
      </c>
      <c r="I1757" s="48">
        <f>11-8</f>
        <v>3</v>
      </c>
      <c r="J1757" s="48">
        <v>3</v>
      </c>
      <c r="K1757" s="48">
        <v>36</v>
      </c>
      <c r="L1757" s="319">
        <v>36</v>
      </c>
      <c r="M1757" s="399">
        <v>3</v>
      </c>
      <c r="N1757" s="433">
        <f>SUM(M1757/L1757)*100</f>
        <v>8.333333333333332</v>
      </c>
      <c r="O1757" s="399">
        <v>5</v>
      </c>
      <c r="P1757" s="433">
        <f>SUM(O1757/L1757)*100</f>
        <v>13.88888888888889</v>
      </c>
      <c r="Q1757" s="399">
        <v>7</v>
      </c>
      <c r="R1757" s="433">
        <f>SUM(Q1757/L1757)*100</f>
        <v>19.444444444444446</v>
      </c>
      <c r="S1757" s="399">
        <v>7</v>
      </c>
      <c r="T1757" s="433">
        <f>SUM(S1757/L1757)*100</f>
        <v>19.444444444444446</v>
      </c>
    </row>
    <row r="1758" spans="1:20" ht="12.75">
      <c r="A1758" s="11"/>
      <c r="B1758" s="11"/>
      <c r="C1758" s="12"/>
      <c r="D1758" s="12"/>
      <c r="E1758" s="12"/>
      <c r="F1758" s="13"/>
      <c r="G1758" s="162"/>
      <c r="H1758" s="14"/>
      <c r="I1758" s="13"/>
      <c r="J1758" s="13"/>
      <c r="K1758" s="13"/>
      <c r="L1758" s="26"/>
      <c r="N1758" s="425"/>
      <c r="P1758" s="547"/>
      <c r="R1758" s="547"/>
      <c r="T1758" s="547"/>
    </row>
    <row r="1759" spans="1:20" ht="12.75">
      <c r="A1759" s="199">
        <v>630</v>
      </c>
      <c r="B1759" s="199" t="s">
        <v>506</v>
      </c>
      <c r="C1759" s="12"/>
      <c r="D1759" s="12"/>
      <c r="E1759" s="12"/>
      <c r="F1759" s="13"/>
      <c r="G1759" s="368">
        <v>0</v>
      </c>
      <c r="H1759" s="66">
        <f aca="true" t="shared" si="259" ref="H1759:S1759">SUM(H1760:H1761)</f>
        <v>10</v>
      </c>
      <c r="I1759" s="48">
        <f t="shared" si="259"/>
        <v>10</v>
      </c>
      <c r="J1759" s="48">
        <f t="shared" si="259"/>
        <v>3</v>
      </c>
      <c r="K1759" s="48">
        <f t="shared" si="259"/>
        <v>23</v>
      </c>
      <c r="L1759" s="319">
        <f t="shared" si="259"/>
        <v>25</v>
      </c>
      <c r="M1759" s="49">
        <f t="shared" si="259"/>
        <v>2</v>
      </c>
      <c r="N1759" s="433">
        <f>SUM(M1759/L1759)*100</f>
        <v>8</v>
      </c>
      <c r="O1759" s="51">
        <f t="shared" si="259"/>
        <v>3</v>
      </c>
      <c r="P1759" s="433">
        <f>SUM(O1759/L1759)*100</f>
        <v>12</v>
      </c>
      <c r="Q1759" s="51">
        <f t="shared" si="259"/>
        <v>4</v>
      </c>
      <c r="R1759" s="433">
        <f>SUM(Q1759/L1759)*100</f>
        <v>16</v>
      </c>
      <c r="S1759" s="51">
        <f t="shared" si="259"/>
        <v>4</v>
      </c>
      <c r="T1759" s="433">
        <f>SUM(S1759/L1759)*100</f>
        <v>16</v>
      </c>
    </row>
    <row r="1760" spans="1:20" ht="12.75">
      <c r="A1760" s="11">
        <v>637014</v>
      </c>
      <c r="B1760" s="11" t="s">
        <v>373</v>
      </c>
      <c r="C1760" s="12"/>
      <c r="D1760" s="12"/>
      <c r="E1760" s="12"/>
      <c r="F1760" s="13"/>
      <c r="G1760" s="162">
        <v>0</v>
      </c>
      <c r="H1760" s="53">
        <v>9</v>
      </c>
      <c r="I1760" s="54">
        <v>9</v>
      </c>
      <c r="J1760" s="54">
        <v>3</v>
      </c>
      <c r="K1760" s="54">
        <v>21</v>
      </c>
      <c r="L1760" s="320">
        <v>23</v>
      </c>
      <c r="M1760" s="389">
        <v>2</v>
      </c>
      <c r="N1760" s="430">
        <f>SUM(M1760/L1760)*100</f>
        <v>8.695652173913043</v>
      </c>
      <c r="O1760" s="31">
        <v>3</v>
      </c>
      <c r="P1760" s="430">
        <f>SUM(O1760/L1760)*100</f>
        <v>13.043478260869565</v>
      </c>
      <c r="Q1760" s="31">
        <v>4</v>
      </c>
      <c r="R1760" s="430">
        <f>SUM(Q1760/L1760)*100</f>
        <v>17.391304347826086</v>
      </c>
      <c r="S1760" s="31">
        <v>4</v>
      </c>
      <c r="T1760" s="430">
        <f>SUM(S1760/L1760)*100</f>
        <v>17.391304347826086</v>
      </c>
    </row>
    <row r="1761" spans="1:20" ht="12.75">
      <c r="A1761" s="11">
        <v>637016</v>
      </c>
      <c r="B1761" s="11" t="s">
        <v>375</v>
      </c>
      <c r="C1761" s="12"/>
      <c r="D1761" s="12"/>
      <c r="E1761" s="12"/>
      <c r="F1761" s="13"/>
      <c r="G1761" s="162">
        <v>0</v>
      </c>
      <c r="H1761" s="53">
        <v>1</v>
      </c>
      <c r="I1761" s="54">
        <v>1</v>
      </c>
      <c r="J1761" s="54">
        <v>0</v>
      </c>
      <c r="K1761" s="54">
        <v>2</v>
      </c>
      <c r="L1761" s="320">
        <v>2</v>
      </c>
      <c r="M1761" s="389"/>
      <c r="N1761" s="430"/>
      <c r="P1761" s="547"/>
      <c r="R1761" s="547"/>
      <c r="T1761" s="547"/>
    </row>
    <row r="1762" spans="1:20" ht="12.75">
      <c r="A1762" s="11"/>
      <c r="B1762" s="11"/>
      <c r="C1762" s="12"/>
      <c r="D1762" s="12"/>
      <c r="E1762" s="12"/>
      <c r="F1762" s="13"/>
      <c r="G1762" s="162"/>
      <c r="H1762" s="14"/>
      <c r="I1762" s="13"/>
      <c r="J1762" s="13"/>
      <c r="K1762" s="13"/>
      <c r="L1762" s="29"/>
      <c r="N1762" s="425"/>
      <c r="P1762" s="547"/>
      <c r="R1762" s="547"/>
      <c r="T1762" s="547"/>
    </row>
    <row r="1763" spans="1:20" ht="12.75">
      <c r="A1763" s="199">
        <v>642</v>
      </c>
      <c r="B1763" s="300" t="s">
        <v>481</v>
      </c>
      <c r="C1763" s="12"/>
      <c r="D1763" s="12"/>
      <c r="E1763" s="12"/>
      <c r="F1763" s="13"/>
      <c r="G1763" s="368">
        <v>0</v>
      </c>
      <c r="H1763" s="66">
        <f>SUM(H1764:H1764)</f>
        <v>0</v>
      </c>
      <c r="I1763" s="48">
        <f>SUM(I1764:I1764)</f>
        <v>0</v>
      </c>
      <c r="J1763" s="48">
        <f>SUM(J1764:J1764)</f>
        <v>0</v>
      </c>
      <c r="K1763" s="48">
        <f>SUM(K1764:K1764)</f>
        <v>0</v>
      </c>
      <c r="L1763" s="319">
        <f>SUM(L1764:L1764)</f>
        <v>0</v>
      </c>
      <c r="N1763" s="425"/>
      <c r="P1763" s="547"/>
      <c r="R1763" s="547"/>
      <c r="S1763" s="51">
        <f>SUM(S1764:S1764)</f>
        <v>1</v>
      </c>
      <c r="T1763" s="547"/>
    </row>
    <row r="1764" spans="1:20" ht="13.5" thickBot="1">
      <c r="A1764" s="18">
        <v>642026</v>
      </c>
      <c r="B1764" s="18" t="s">
        <v>21</v>
      </c>
      <c r="C1764" s="19"/>
      <c r="D1764" s="19"/>
      <c r="E1764" s="19"/>
      <c r="F1764" s="20"/>
      <c r="G1764" s="369"/>
      <c r="H1764" s="21">
        <v>0</v>
      </c>
      <c r="I1764" s="20">
        <v>0</v>
      </c>
      <c r="J1764" s="20">
        <v>0</v>
      </c>
      <c r="K1764" s="20">
        <v>0</v>
      </c>
      <c r="L1764" s="342">
        <v>0</v>
      </c>
      <c r="M1764" s="411"/>
      <c r="N1764" s="429"/>
      <c r="O1764" s="411"/>
      <c r="P1764" s="548"/>
      <c r="Q1764" s="411"/>
      <c r="R1764" s="548"/>
      <c r="S1764" s="411">
        <v>1</v>
      </c>
      <c r="T1764" s="548"/>
    </row>
    <row r="1765" spans="1:11" ht="12.75">
      <c r="A1765" s="12"/>
      <c r="B1765" s="12"/>
      <c r="C1765" s="12"/>
      <c r="D1765" s="12"/>
      <c r="E1765" s="12"/>
      <c r="F1765" s="12"/>
      <c r="G1765" s="162"/>
      <c r="H1765" s="12"/>
      <c r="I1765" s="12"/>
      <c r="J1765" s="12"/>
      <c r="K1765" s="12"/>
    </row>
    <row r="1766" spans="1:12" ht="12.75">
      <c r="A1766" s="12" t="s">
        <v>722</v>
      </c>
      <c r="B1766" s="12"/>
      <c r="C1766" s="12"/>
      <c r="D1766" s="12"/>
      <c r="E1766" s="12"/>
      <c r="F1766" s="12"/>
      <c r="G1766" s="164"/>
      <c r="H1766" s="52"/>
      <c r="I1766" s="52"/>
      <c r="J1766" s="52"/>
      <c r="K1766" s="52"/>
      <c r="L1766" s="52"/>
    </row>
    <row r="1767" spans="1:12" ht="12.75">
      <c r="A1767" s="12" t="s">
        <v>723</v>
      </c>
      <c r="B1767" s="12"/>
      <c r="C1767" s="12"/>
      <c r="D1767" s="12"/>
      <c r="E1767" s="12"/>
      <c r="F1767" s="12"/>
      <c r="G1767" s="164"/>
      <c r="H1767" s="52"/>
      <c r="I1767" s="52"/>
      <c r="J1767" s="52"/>
      <c r="K1767" s="52"/>
      <c r="L1767" s="52"/>
    </row>
    <row r="1768" spans="1:21" ht="15.75">
      <c r="A1768" s="727"/>
      <c r="B1768" s="278"/>
      <c r="C1768" s="240"/>
      <c r="D1768" s="12"/>
      <c r="E1768" s="12"/>
      <c r="F1768" s="12"/>
      <c r="G1768" s="12"/>
      <c r="H1768" s="34"/>
      <c r="I1768" s="12"/>
      <c r="J1768" s="142"/>
      <c r="K1768" s="34"/>
      <c r="L1768" s="726"/>
      <c r="M1768" s="52"/>
      <c r="N1768" s="428"/>
      <c r="O1768" s="52"/>
      <c r="P1768" s="12"/>
      <c r="Q1768" s="52"/>
      <c r="R1768" s="12"/>
      <c r="S1768" s="52"/>
      <c r="T1768" s="428"/>
      <c r="U1768" s="52"/>
    </row>
    <row r="1769" spans="1:21" ht="12.75">
      <c r="A1769" s="34"/>
      <c r="B1769" s="728"/>
      <c r="C1769" s="240"/>
      <c r="D1769" s="12"/>
      <c r="E1769" s="12"/>
      <c r="F1769" s="12"/>
      <c r="G1769" s="12"/>
      <c r="H1769" s="729"/>
      <c r="I1769" s="730"/>
      <c r="J1769" s="731"/>
      <c r="K1769" s="34"/>
      <c r="L1769" s="726"/>
      <c r="M1769" s="52"/>
      <c r="N1769" s="428"/>
      <c r="O1769" s="52"/>
      <c r="P1769" s="12"/>
      <c r="Q1769" s="52"/>
      <c r="R1769" s="12"/>
      <c r="S1769" s="52"/>
      <c r="T1769" s="428"/>
      <c r="U1769" s="52"/>
    </row>
    <row r="1770" spans="1:21" ht="12.75">
      <c r="A1770" s="95"/>
      <c r="B1770" s="95"/>
      <c r="C1770" s="95"/>
      <c r="D1770" s="34"/>
      <c r="E1770" s="12"/>
      <c r="F1770" s="12"/>
      <c r="G1770" s="34"/>
      <c r="H1770" s="95"/>
      <c r="I1770" s="34"/>
      <c r="J1770" s="34"/>
      <c r="K1770" s="95"/>
      <c r="L1770" s="600"/>
      <c r="M1770" s="52"/>
      <c r="N1770" s="428"/>
      <c r="O1770" s="52"/>
      <c r="P1770" s="12"/>
      <c r="Q1770" s="52"/>
      <c r="R1770" s="12"/>
      <c r="S1770" s="52"/>
      <c r="T1770" s="12"/>
      <c r="U1770" s="52"/>
    </row>
    <row r="1771" spans="1:22" s="131" customFormat="1" ht="15">
      <c r="A1771" s="733"/>
      <c r="B1771" s="734"/>
      <c r="C1771" s="733"/>
      <c r="D1771" s="733"/>
      <c r="E1771" s="733"/>
      <c r="F1771" s="733"/>
      <c r="G1771" s="734"/>
      <c r="H1771" s="734"/>
      <c r="I1771" s="734"/>
      <c r="J1771" s="734"/>
      <c r="K1771" s="734"/>
      <c r="L1771" s="735"/>
      <c r="M1771" s="386"/>
      <c r="N1771" s="732"/>
      <c r="O1771" s="453"/>
      <c r="P1771" s="732"/>
      <c r="Q1771" s="91"/>
      <c r="R1771" s="24"/>
      <c r="S1771" s="91"/>
      <c r="T1771" s="24"/>
      <c r="U1771" s="91"/>
      <c r="V1771" s="389"/>
    </row>
    <row r="1772" spans="1:21" ht="12.75">
      <c r="A1772" s="12"/>
      <c r="B1772" s="12"/>
      <c r="C1772" s="12"/>
      <c r="D1772" s="12"/>
      <c r="E1772" s="12"/>
      <c r="F1772" s="12"/>
      <c r="G1772" s="162"/>
      <c r="H1772" s="12"/>
      <c r="I1772" s="12"/>
      <c r="J1772" s="12"/>
      <c r="K1772" s="12"/>
      <c r="L1772" s="52"/>
      <c r="M1772" s="52"/>
      <c r="N1772" s="428"/>
      <c r="O1772" s="52"/>
      <c r="P1772" s="12"/>
      <c r="Q1772" s="52"/>
      <c r="R1772" s="12"/>
      <c r="S1772" s="52"/>
      <c r="T1772" s="12"/>
      <c r="U1772" s="52"/>
    </row>
    <row r="1773" spans="1:21" ht="12.75">
      <c r="A1773" s="49"/>
      <c r="B1773" s="49"/>
      <c r="C1773" s="49"/>
      <c r="D1773" s="12"/>
      <c r="E1773" s="12"/>
      <c r="F1773" s="12"/>
      <c r="G1773" s="368"/>
      <c r="H1773" s="49"/>
      <c r="I1773" s="49"/>
      <c r="J1773" s="49"/>
      <c r="K1773" s="49"/>
      <c r="L1773" s="51"/>
      <c r="M1773" s="51"/>
      <c r="N1773" s="592"/>
      <c r="O1773" s="51"/>
      <c r="P1773" s="592"/>
      <c r="Q1773" s="52"/>
      <c r="R1773" s="12"/>
      <c r="S1773" s="52"/>
      <c r="T1773" s="12"/>
      <c r="U1773" s="52"/>
    </row>
    <row r="1774" spans="1:21" ht="12.75">
      <c r="A1774" s="12"/>
      <c r="B1774" s="12"/>
      <c r="C1774" s="12"/>
      <c r="D1774" s="12"/>
      <c r="E1774" s="12"/>
      <c r="F1774" s="12"/>
      <c r="G1774" s="368"/>
      <c r="H1774" s="12"/>
      <c r="I1774" s="12"/>
      <c r="J1774" s="12"/>
      <c r="K1774" s="12"/>
      <c r="L1774" s="51"/>
      <c r="M1774" s="52"/>
      <c r="N1774" s="428"/>
      <c r="O1774" s="52"/>
      <c r="P1774" s="12"/>
      <c r="Q1774" s="52"/>
      <c r="R1774" s="12"/>
      <c r="S1774" s="52"/>
      <c r="T1774" s="12"/>
      <c r="U1774" s="52"/>
    </row>
    <row r="1775" spans="1:21" ht="12.75">
      <c r="A1775" s="49"/>
      <c r="B1775" s="49"/>
      <c r="C1775" s="12"/>
      <c r="D1775" s="12"/>
      <c r="E1775" s="12"/>
      <c r="F1775" s="12"/>
      <c r="G1775" s="368"/>
      <c r="H1775" s="49"/>
      <c r="I1775" s="49"/>
      <c r="J1775" s="49"/>
      <c r="K1775" s="49"/>
      <c r="L1775" s="51"/>
      <c r="M1775" s="51"/>
      <c r="N1775" s="592"/>
      <c r="O1775" s="51"/>
      <c r="P1775" s="592"/>
      <c r="Q1775" s="52"/>
      <c r="R1775" s="12"/>
      <c r="S1775" s="52"/>
      <c r="T1775" s="12"/>
      <c r="U1775" s="52"/>
    </row>
    <row r="1776" spans="1:21" ht="12.75">
      <c r="A1776" s="12"/>
      <c r="B1776" s="12"/>
      <c r="C1776" s="12"/>
      <c r="D1776" s="12"/>
      <c r="E1776" s="12"/>
      <c r="F1776" s="12"/>
      <c r="G1776" s="162"/>
      <c r="H1776" s="12"/>
      <c r="I1776" s="12"/>
      <c r="J1776" s="12"/>
      <c r="K1776" s="12"/>
      <c r="L1776" s="51"/>
      <c r="M1776" s="52"/>
      <c r="N1776" s="428"/>
      <c r="O1776" s="52"/>
      <c r="P1776" s="12"/>
      <c r="Q1776" s="52"/>
      <c r="R1776" s="12"/>
      <c r="S1776" s="52"/>
      <c r="T1776" s="12"/>
      <c r="U1776" s="52"/>
    </row>
    <row r="1777" spans="1:21" ht="12.75">
      <c r="A1777" s="49"/>
      <c r="B1777" s="49"/>
      <c r="C1777" s="12"/>
      <c r="D1777" s="12"/>
      <c r="E1777" s="12"/>
      <c r="F1777" s="12"/>
      <c r="G1777" s="267"/>
      <c r="H1777" s="267"/>
      <c r="I1777" s="267"/>
      <c r="J1777" s="267"/>
      <c r="K1777" s="267"/>
      <c r="L1777" s="51"/>
      <c r="M1777" s="49"/>
      <c r="N1777" s="592"/>
      <c r="O1777" s="51"/>
      <c r="P1777" s="592"/>
      <c r="Q1777" s="52"/>
      <c r="R1777" s="12"/>
      <c r="S1777" s="52"/>
      <c r="T1777" s="12"/>
      <c r="U1777" s="52"/>
    </row>
    <row r="1778" spans="1:21" ht="12.75">
      <c r="A1778" s="24"/>
      <c r="B1778" s="24"/>
      <c r="C1778" s="24"/>
      <c r="D1778" s="24"/>
      <c r="E1778" s="24"/>
      <c r="F1778" s="24"/>
      <c r="G1778" s="162"/>
      <c r="H1778" s="12"/>
      <c r="I1778" s="12"/>
      <c r="J1778" s="12"/>
      <c r="K1778" s="12"/>
      <c r="L1778" s="52"/>
      <c r="M1778" s="52"/>
      <c r="N1778" s="428"/>
      <c r="O1778" s="52"/>
      <c r="P1778" s="12"/>
      <c r="Q1778" s="52"/>
      <c r="R1778" s="12"/>
      <c r="S1778" s="52"/>
      <c r="T1778" s="12"/>
      <c r="U1778" s="52"/>
    </row>
    <row r="1779" spans="1:21" ht="12.75">
      <c r="A1779" s="24"/>
      <c r="B1779" s="24"/>
      <c r="C1779" s="24"/>
      <c r="D1779" s="24"/>
      <c r="E1779" s="24"/>
      <c r="F1779" s="24"/>
      <c r="G1779" s="162"/>
      <c r="H1779" s="12"/>
      <c r="I1779" s="12"/>
      <c r="J1779" s="12"/>
      <c r="K1779" s="12"/>
      <c r="L1779" s="52"/>
      <c r="M1779" s="52"/>
      <c r="N1779" s="438"/>
      <c r="O1779" s="52"/>
      <c r="P1779" s="438"/>
      <c r="Q1779" s="52"/>
      <c r="R1779" s="12"/>
      <c r="S1779" s="52"/>
      <c r="T1779" s="12"/>
      <c r="U1779" s="52"/>
    </row>
    <row r="1780" spans="1:21" ht="12.75">
      <c r="A1780" s="24"/>
      <c r="B1780" s="24"/>
      <c r="C1780" s="12"/>
      <c r="D1780" s="12"/>
      <c r="E1780" s="12"/>
      <c r="F1780" s="12"/>
      <c r="G1780" s="162"/>
      <c r="H1780" s="12"/>
      <c r="I1780" s="12"/>
      <c r="J1780" s="12"/>
      <c r="K1780" s="12"/>
      <c r="L1780" s="52"/>
      <c r="M1780" s="52"/>
      <c r="N1780" s="428"/>
      <c r="O1780" s="52"/>
      <c r="P1780" s="12"/>
      <c r="Q1780" s="52"/>
      <c r="R1780" s="12"/>
      <c r="S1780" s="52"/>
      <c r="T1780" s="12"/>
      <c r="U1780" s="52"/>
    </row>
    <row r="1781" spans="1:21" ht="12.75">
      <c r="A1781" s="24"/>
      <c r="B1781" s="24"/>
      <c r="C1781" s="12"/>
      <c r="D1781" s="12"/>
      <c r="E1781" s="12"/>
      <c r="F1781" s="12"/>
      <c r="G1781" s="162"/>
      <c r="H1781" s="12"/>
      <c r="I1781" s="12"/>
      <c r="J1781" s="12"/>
      <c r="K1781" s="12"/>
      <c r="L1781" s="52"/>
      <c r="M1781" s="52"/>
      <c r="N1781" s="428"/>
      <c r="O1781" s="52"/>
      <c r="P1781" s="12"/>
      <c r="Q1781" s="52"/>
      <c r="R1781" s="12"/>
      <c r="S1781" s="52"/>
      <c r="T1781" s="12"/>
      <c r="U1781" s="52"/>
    </row>
    <row r="1782" spans="1:21" ht="12.75">
      <c r="A1782" s="24"/>
      <c r="B1782" s="24"/>
      <c r="C1782" s="12"/>
      <c r="D1782" s="12"/>
      <c r="E1782" s="12"/>
      <c r="F1782" s="12"/>
      <c r="G1782" s="162"/>
      <c r="H1782" s="12"/>
      <c r="I1782" s="12"/>
      <c r="J1782" s="12"/>
      <c r="K1782" s="12"/>
      <c r="L1782" s="52"/>
      <c r="M1782" s="52"/>
      <c r="N1782" s="428"/>
      <c r="O1782" s="52"/>
      <c r="P1782" s="12"/>
      <c r="Q1782" s="52"/>
      <c r="R1782" s="12"/>
      <c r="S1782" s="52"/>
      <c r="T1782" s="12"/>
      <c r="U1782" s="52"/>
    </row>
    <row r="1783" spans="1:21" ht="12.75">
      <c r="A1783" s="12"/>
      <c r="B1783" s="12"/>
      <c r="C1783" s="12"/>
      <c r="D1783" s="12"/>
      <c r="E1783" s="12"/>
      <c r="F1783" s="12"/>
      <c r="G1783" s="162"/>
      <c r="H1783" s="12"/>
      <c r="I1783" s="12"/>
      <c r="J1783" s="12"/>
      <c r="K1783" s="12"/>
      <c r="L1783" s="52"/>
      <c r="M1783" s="52"/>
      <c r="N1783" s="438"/>
      <c r="O1783" s="52"/>
      <c r="P1783" s="438"/>
      <c r="Q1783" s="52"/>
      <c r="R1783" s="12"/>
      <c r="S1783" s="52"/>
      <c r="T1783" s="12"/>
      <c r="U1783" s="52"/>
    </row>
    <row r="1784" spans="1:21" ht="12.75">
      <c r="A1784" s="12"/>
      <c r="B1784" s="12"/>
      <c r="C1784" s="12"/>
      <c r="D1784" s="12"/>
      <c r="E1784" s="12"/>
      <c r="F1784" s="12"/>
      <c r="G1784" s="162"/>
      <c r="H1784" s="12"/>
      <c r="I1784" s="12"/>
      <c r="J1784" s="12"/>
      <c r="K1784" s="12"/>
      <c r="L1784" s="52"/>
      <c r="M1784" s="52"/>
      <c r="N1784" s="438"/>
      <c r="O1784" s="52"/>
      <c r="P1784" s="438"/>
      <c r="Q1784" s="52"/>
      <c r="R1784" s="12"/>
      <c r="S1784" s="52"/>
      <c r="T1784" s="12"/>
      <c r="U1784" s="52"/>
    </row>
    <row r="1785" spans="1:21" ht="12.75">
      <c r="A1785" s="12"/>
      <c r="B1785" s="12"/>
      <c r="C1785" s="12"/>
      <c r="D1785" s="12"/>
      <c r="E1785" s="12"/>
      <c r="F1785" s="12"/>
      <c r="G1785" s="162"/>
      <c r="H1785" s="12"/>
      <c r="I1785" s="12"/>
      <c r="J1785" s="12"/>
      <c r="K1785" s="12"/>
      <c r="L1785" s="52"/>
      <c r="M1785" s="52"/>
      <c r="N1785" s="438"/>
      <c r="O1785" s="52"/>
      <c r="P1785" s="438"/>
      <c r="Q1785" s="52"/>
      <c r="R1785" s="12"/>
      <c r="S1785" s="52"/>
      <c r="T1785" s="12"/>
      <c r="U1785" s="52"/>
    </row>
    <row r="1786" spans="1:21" ht="12.75">
      <c r="A1786" s="12"/>
      <c r="B1786" s="12"/>
      <c r="C1786" s="12"/>
      <c r="D1786" s="12"/>
      <c r="E1786" s="12"/>
      <c r="F1786" s="12"/>
      <c r="G1786" s="162"/>
      <c r="H1786" s="12"/>
      <c r="I1786" s="12"/>
      <c r="J1786" s="12"/>
      <c r="K1786" s="12"/>
      <c r="L1786" s="52"/>
      <c r="M1786" s="52"/>
      <c r="N1786" s="428"/>
      <c r="O1786" s="52"/>
      <c r="P1786" s="12"/>
      <c r="Q1786" s="52"/>
      <c r="R1786" s="12"/>
      <c r="S1786" s="52"/>
      <c r="T1786" s="12"/>
      <c r="U1786" s="52"/>
    </row>
    <row r="1787" spans="1:21" ht="12.75">
      <c r="A1787" s="49"/>
      <c r="B1787" s="49"/>
      <c r="C1787" s="12"/>
      <c r="D1787" s="12"/>
      <c r="E1787" s="12"/>
      <c r="F1787" s="12"/>
      <c r="G1787" s="368"/>
      <c r="H1787" s="49"/>
      <c r="I1787" s="49"/>
      <c r="J1787" s="49"/>
      <c r="K1787" s="49"/>
      <c r="L1787" s="51"/>
      <c r="M1787" s="52"/>
      <c r="N1787" s="428"/>
      <c r="O1787" s="52"/>
      <c r="P1787" s="12"/>
      <c r="Q1787" s="52"/>
      <c r="R1787" s="12"/>
      <c r="S1787" s="52"/>
      <c r="T1787" s="12"/>
      <c r="U1787" s="52"/>
    </row>
    <row r="1788" spans="1:21" ht="12.75">
      <c r="A1788" s="12"/>
      <c r="B1788" s="12"/>
      <c r="C1788" s="12"/>
      <c r="D1788" s="12"/>
      <c r="E1788" s="12"/>
      <c r="F1788" s="12"/>
      <c r="G1788" s="162"/>
      <c r="H1788" s="12"/>
      <c r="I1788" s="12"/>
      <c r="J1788" s="12"/>
      <c r="K1788" s="12"/>
      <c r="L1788" s="52"/>
      <c r="M1788" s="52"/>
      <c r="N1788" s="428"/>
      <c r="O1788" s="52"/>
      <c r="P1788" s="12"/>
      <c r="Q1788" s="52"/>
      <c r="R1788" s="12"/>
      <c r="S1788" s="52"/>
      <c r="T1788" s="12"/>
      <c r="U1788" s="52"/>
    </row>
    <row r="1789" spans="1:21" ht="12.75">
      <c r="A1789" s="237"/>
      <c r="B1789" s="12"/>
      <c r="C1789" s="12"/>
      <c r="D1789" s="12"/>
      <c r="E1789" s="12"/>
      <c r="F1789" s="12"/>
      <c r="G1789" s="162"/>
      <c r="H1789" s="55"/>
      <c r="I1789" s="12"/>
      <c r="J1789" s="12"/>
      <c r="K1789" s="12"/>
      <c r="L1789" s="52"/>
      <c r="M1789" s="52"/>
      <c r="N1789" s="428"/>
      <c r="O1789" s="52"/>
      <c r="P1789" s="12"/>
      <c r="Q1789" s="52"/>
      <c r="R1789" s="12"/>
      <c r="S1789" s="52"/>
      <c r="T1789" s="12"/>
      <c r="U1789" s="52"/>
    </row>
    <row r="1790" spans="1:21" ht="12.75">
      <c r="A1790" s="237"/>
      <c r="B1790" s="12"/>
      <c r="C1790" s="12"/>
      <c r="D1790" s="12"/>
      <c r="E1790" s="12"/>
      <c r="F1790" s="12"/>
      <c r="G1790" s="162"/>
      <c r="H1790" s="55"/>
      <c r="I1790" s="12"/>
      <c r="J1790" s="12"/>
      <c r="K1790" s="12"/>
      <c r="L1790" s="52"/>
      <c r="M1790" s="52"/>
      <c r="N1790" s="428"/>
      <c r="O1790" s="52"/>
      <c r="P1790" s="12"/>
      <c r="Q1790" s="52"/>
      <c r="R1790" s="12"/>
      <c r="S1790" s="52"/>
      <c r="T1790" s="12"/>
      <c r="U1790" s="52"/>
    </row>
    <row r="1791" spans="1:11" ht="12.75">
      <c r="A1791" s="24"/>
      <c r="B1791" s="12"/>
      <c r="C1791" s="12"/>
      <c r="D1791" s="12"/>
      <c r="E1791" s="12"/>
      <c r="F1791" s="12"/>
      <c r="G1791" s="162"/>
      <c r="H1791" s="55"/>
      <c r="I1791" s="12"/>
      <c r="J1791" s="12"/>
      <c r="K1791" s="12"/>
    </row>
    <row r="1792" spans="1:11" ht="12.75">
      <c r="A1792" s="24"/>
      <c r="B1792" s="12"/>
      <c r="C1792" s="12"/>
      <c r="D1792" s="12"/>
      <c r="E1792" s="12"/>
      <c r="F1792" s="12"/>
      <c r="G1792" s="162"/>
      <c r="H1792" s="55"/>
      <c r="I1792" s="12"/>
      <c r="J1792" s="12"/>
      <c r="K1792" s="12"/>
    </row>
    <row r="1793" spans="1:11" ht="12.75">
      <c r="A1793" s="237"/>
      <c r="B1793" s="12"/>
      <c r="C1793" s="12"/>
      <c r="D1793" s="12"/>
      <c r="E1793" s="12"/>
      <c r="F1793" s="12"/>
      <c r="G1793" s="162"/>
      <c r="H1793" s="55"/>
      <c r="I1793" s="12"/>
      <c r="J1793" s="12"/>
      <c r="K1793" s="12"/>
    </row>
    <row r="1794" spans="1:11" ht="12.75">
      <c r="A1794" s="237"/>
      <c r="B1794" s="12"/>
      <c r="C1794" s="12"/>
      <c r="D1794" s="12"/>
      <c r="E1794" s="12"/>
      <c r="F1794" s="12"/>
      <c r="G1794" s="162"/>
      <c r="H1794" s="55"/>
      <c r="I1794" s="12"/>
      <c r="J1794" s="12"/>
      <c r="K1794" s="12"/>
    </row>
    <row r="1795" spans="1:11" ht="12.75">
      <c r="A1795" s="24"/>
      <c r="B1795" s="12"/>
      <c r="C1795" s="12"/>
      <c r="D1795" s="12"/>
      <c r="E1795" s="12"/>
      <c r="F1795" s="12"/>
      <c r="G1795" s="162"/>
      <c r="H1795" s="55"/>
      <c r="I1795" s="12"/>
      <c r="J1795" s="12"/>
      <c r="K1795" s="12"/>
    </row>
    <row r="1797" ht="15.75">
      <c r="A1797" s="2"/>
    </row>
    <row r="1798" ht="16.5" thickBot="1">
      <c r="A1798" s="2" t="s">
        <v>677</v>
      </c>
    </row>
    <row r="1799" spans="1:20" ht="13.5" thickBot="1">
      <c r="A1799" s="133"/>
      <c r="B1799" s="134"/>
      <c r="C1799" s="134"/>
      <c r="D1799" s="134"/>
      <c r="E1799" s="135"/>
      <c r="F1799" s="135"/>
      <c r="G1799" s="15" t="s">
        <v>23</v>
      </c>
      <c r="H1799" s="136"/>
      <c r="I1799" s="137" t="s">
        <v>155</v>
      </c>
      <c r="J1799" s="138" t="s">
        <v>156</v>
      </c>
      <c r="K1799" s="10" t="s">
        <v>25</v>
      </c>
      <c r="L1799" s="238" t="s">
        <v>645</v>
      </c>
      <c r="M1799" s="403" t="s">
        <v>296</v>
      </c>
      <c r="N1799" s="421" t="s">
        <v>681</v>
      </c>
      <c r="O1799" s="403" t="s">
        <v>296</v>
      </c>
      <c r="P1799" s="426" t="s">
        <v>683</v>
      </c>
      <c r="Q1799" s="403" t="s">
        <v>296</v>
      </c>
      <c r="R1799" s="426" t="s">
        <v>681</v>
      </c>
      <c r="S1799" s="403" t="s">
        <v>296</v>
      </c>
      <c r="T1799" s="421" t="s">
        <v>681</v>
      </c>
    </row>
    <row r="1800" spans="1:20" ht="13.5" thickTop="1">
      <c r="A1800" s="139" t="s">
        <v>157</v>
      </c>
      <c r="B1800" s="140" t="s">
        <v>158</v>
      </c>
      <c r="C1800" s="141"/>
      <c r="D1800" s="142"/>
      <c r="E1800" s="142"/>
      <c r="F1800" s="142"/>
      <c r="G1800" s="11" t="s">
        <v>45</v>
      </c>
      <c r="H1800" s="32" t="s">
        <v>27</v>
      </c>
      <c r="I1800" s="6" t="s">
        <v>92</v>
      </c>
      <c r="J1800" s="108" t="s">
        <v>29</v>
      </c>
      <c r="K1800" s="33" t="s">
        <v>46</v>
      </c>
      <c r="L1800" s="208"/>
      <c r="M1800" s="25" t="s">
        <v>297</v>
      </c>
      <c r="N1800" s="422"/>
      <c r="O1800" s="25" t="s">
        <v>750</v>
      </c>
      <c r="P1800" s="547"/>
      <c r="Q1800" s="25" t="s">
        <v>896</v>
      </c>
      <c r="R1800" s="547"/>
      <c r="S1800" s="25" t="s">
        <v>957</v>
      </c>
      <c r="T1800" s="422"/>
    </row>
    <row r="1801" spans="1:20" ht="13.5" thickBot="1">
      <c r="A1801" s="143"/>
      <c r="B1801" s="144"/>
      <c r="C1801" s="145"/>
      <c r="D1801" s="145"/>
      <c r="E1801" s="146"/>
      <c r="F1801" s="147"/>
      <c r="G1801" s="83"/>
      <c r="H1801" s="84">
        <v>38335</v>
      </c>
      <c r="I1801" s="148">
        <v>38587</v>
      </c>
      <c r="J1801" s="110" t="s">
        <v>31</v>
      </c>
      <c r="K1801" s="33" t="s">
        <v>32</v>
      </c>
      <c r="L1801" s="242"/>
      <c r="M1801" s="404"/>
      <c r="N1801" s="423"/>
      <c r="O1801" s="404"/>
      <c r="P1801" s="548"/>
      <c r="Q1801" s="404"/>
      <c r="R1801" s="548"/>
      <c r="S1801" s="404"/>
      <c r="T1801" s="423"/>
    </row>
    <row r="1802" spans="1:20" ht="13.5" thickBot="1">
      <c r="A1802" s="149" t="s">
        <v>47</v>
      </c>
      <c r="B1802" s="150"/>
      <c r="C1802" s="151"/>
      <c r="D1802" s="151" t="s">
        <v>48</v>
      </c>
      <c r="E1802" s="151"/>
      <c r="F1802" s="151"/>
      <c r="G1802" s="152">
        <v>1</v>
      </c>
      <c r="H1802" s="41">
        <v>2</v>
      </c>
      <c r="I1802" s="22">
        <v>3</v>
      </c>
      <c r="J1802" s="22">
        <v>4</v>
      </c>
      <c r="K1802" s="40">
        <v>1</v>
      </c>
      <c r="L1802" s="599">
        <v>1</v>
      </c>
      <c r="N1802" s="424"/>
      <c r="P1802" s="547"/>
      <c r="R1802" s="556"/>
      <c r="S1802" s="415"/>
      <c r="T1802" s="5"/>
    </row>
    <row r="1803" spans="1:20" ht="12.75">
      <c r="A1803" s="153" t="s">
        <v>159</v>
      </c>
      <c r="B1803" s="24" t="s">
        <v>160</v>
      </c>
      <c r="C1803" s="24"/>
      <c r="G1803" s="154">
        <f>G1885</f>
        <v>0</v>
      </c>
      <c r="H1803" s="154">
        <f>H1885</f>
        <v>0</v>
      </c>
      <c r="I1803" s="154">
        <f>I1885</f>
        <v>0</v>
      </c>
      <c r="J1803" s="154">
        <f>J1885</f>
        <v>0</v>
      </c>
      <c r="K1803" s="154">
        <f>K1885</f>
        <v>0</v>
      </c>
      <c r="L1803" s="154">
        <f>SUM(L282)</f>
        <v>79209</v>
      </c>
      <c r="M1803" s="154" t="e">
        <f>SUM(M282)</f>
        <v>#REF!</v>
      </c>
      <c r="N1803" s="430" t="e">
        <f aca="true" t="shared" si="260" ref="N1803:N1836">SUM(M1803/L1803)*100</f>
        <v>#REF!</v>
      </c>
      <c r="O1803" s="405" t="e">
        <f>SUM(O282)</f>
        <v>#REF!</v>
      </c>
      <c r="P1803" s="525" t="e">
        <f aca="true" t="shared" si="261" ref="P1803:P1832">SUM(O1803/L1803)*100</f>
        <v>#REF!</v>
      </c>
      <c r="Q1803" s="405" t="e">
        <f>SUM(Q282)</f>
        <v>#REF!</v>
      </c>
      <c r="R1803" s="525" t="e">
        <f aca="true" t="shared" si="262" ref="R1803:R1832">SUM(Q1803/L1803)*100</f>
        <v>#REF!</v>
      </c>
      <c r="S1803" s="691">
        <f>SUM(S282)</f>
        <v>33549</v>
      </c>
      <c r="T1803" s="709">
        <f aca="true" t="shared" si="263" ref="T1803:T1819">SUM(S1803/L1803)*100</f>
        <v>42.35503541264251</v>
      </c>
    </row>
    <row r="1804" spans="1:20" ht="12.75">
      <c r="A1804" s="153" t="s">
        <v>161</v>
      </c>
      <c r="B1804" s="24" t="s">
        <v>162</v>
      </c>
      <c r="C1804" s="24"/>
      <c r="G1804" s="155">
        <f>G2097</f>
        <v>0</v>
      </c>
      <c r="H1804" s="155">
        <f>H2097</f>
        <v>0</v>
      </c>
      <c r="I1804" s="155">
        <f>I2097</f>
        <v>0</v>
      </c>
      <c r="J1804" s="155">
        <f>J2097</f>
        <v>0</v>
      </c>
      <c r="K1804" s="155">
        <f>K2097</f>
        <v>0</v>
      </c>
      <c r="L1804" s="155">
        <f>SUM(L595)</f>
        <v>200</v>
      </c>
      <c r="M1804" s="155">
        <f>SUM(M595)</f>
        <v>0</v>
      </c>
      <c r="N1804" s="430">
        <f t="shared" si="260"/>
        <v>0</v>
      </c>
      <c r="O1804" s="406">
        <f>SUM(O595)</f>
        <v>107</v>
      </c>
      <c r="P1804" s="430">
        <f t="shared" si="261"/>
        <v>53.5</v>
      </c>
      <c r="Q1804" s="406">
        <f>SUM(Q595)</f>
        <v>107</v>
      </c>
      <c r="R1804" s="430">
        <f t="shared" si="262"/>
        <v>53.5</v>
      </c>
      <c r="S1804" s="628">
        <f>SUM(S595)</f>
        <v>107</v>
      </c>
      <c r="T1804" s="537">
        <f t="shared" si="263"/>
        <v>53.5</v>
      </c>
    </row>
    <row r="1805" spans="1:20" ht="12.75">
      <c r="A1805" s="153" t="s">
        <v>163</v>
      </c>
      <c r="B1805" s="24" t="s">
        <v>164</v>
      </c>
      <c r="C1805" s="24"/>
      <c r="G1805" s="155">
        <f>G2109</f>
        <v>0</v>
      </c>
      <c r="H1805" s="155">
        <f>H2109</f>
        <v>0</v>
      </c>
      <c r="I1805" s="155">
        <f>I2109</f>
        <v>0</v>
      </c>
      <c r="J1805" s="155">
        <f>J2109</f>
        <v>0</v>
      </c>
      <c r="K1805" s="155">
        <f>K2109</f>
        <v>0</v>
      </c>
      <c r="L1805" s="155">
        <f>SUM(L607)</f>
        <v>1035</v>
      </c>
      <c r="M1805" s="155">
        <f>SUM(M607)</f>
        <v>150</v>
      </c>
      <c r="N1805" s="430">
        <f t="shared" si="260"/>
        <v>14.492753623188406</v>
      </c>
      <c r="O1805" s="406">
        <f>SUM(O607)</f>
        <v>221</v>
      </c>
      <c r="P1805" s="430">
        <f t="shared" si="261"/>
        <v>21.35265700483092</v>
      </c>
      <c r="Q1805" s="406">
        <f>SUM(Q607)</f>
        <v>364</v>
      </c>
      <c r="R1805" s="430">
        <f t="shared" si="262"/>
        <v>35.169082125603865</v>
      </c>
      <c r="S1805" s="628">
        <f>SUM(S607)</f>
        <v>419</v>
      </c>
      <c r="T1805" s="537">
        <f t="shared" si="263"/>
        <v>40.48309178743961</v>
      </c>
    </row>
    <row r="1806" spans="1:20" ht="12.75">
      <c r="A1806" s="153" t="s">
        <v>165</v>
      </c>
      <c r="B1806" s="24" t="s">
        <v>166</v>
      </c>
      <c r="C1806" s="24"/>
      <c r="G1806" s="155">
        <f>G2615</f>
        <v>0</v>
      </c>
      <c r="H1806" s="155">
        <f>H2615</f>
        <v>0</v>
      </c>
      <c r="I1806" s="155">
        <f>I2615</f>
        <v>0</v>
      </c>
      <c r="J1806" s="155">
        <f>J2615</f>
        <v>0</v>
      </c>
      <c r="K1806" s="155">
        <f>K2615</f>
        <v>0</v>
      </c>
      <c r="L1806" s="155">
        <f>SUM(L1182)</f>
        <v>21726</v>
      </c>
      <c r="M1806" s="155">
        <f>SUM(M1181)</f>
        <v>1588</v>
      </c>
      <c r="N1806" s="430">
        <f t="shared" si="260"/>
        <v>7.309214765718494</v>
      </c>
      <c r="O1806" s="406">
        <f>SUM(O1181)</f>
        <v>2855</v>
      </c>
      <c r="P1806" s="430">
        <f t="shared" si="261"/>
        <v>13.140937126024118</v>
      </c>
      <c r="Q1806" s="406">
        <f>SUM(Q1181)</f>
        <v>7408</v>
      </c>
      <c r="R1806" s="430">
        <f t="shared" si="262"/>
        <v>34.09739482647519</v>
      </c>
      <c r="S1806" s="628">
        <f>SUM(S1181)</f>
        <v>8725</v>
      </c>
      <c r="T1806" s="537">
        <f t="shared" si="263"/>
        <v>40.15925619073921</v>
      </c>
    </row>
    <row r="1807" spans="1:20" ht="12.75">
      <c r="A1807" s="153" t="s">
        <v>167</v>
      </c>
      <c r="B1807" s="24" t="s">
        <v>168</v>
      </c>
      <c r="C1807" s="24"/>
      <c r="G1807" s="155">
        <f>G2072</f>
        <v>0</v>
      </c>
      <c r="H1807" s="155">
        <f>H2072</f>
        <v>0</v>
      </c>
      <c r="I1807" s="155">
        <f>I2072</f>
        <v>0</v>
      </c>
      <c r="J1807" s="155">
        <f>J2072</f>
        <v>0</v>
      </c>
      <c r="K1807" s="155">
        <f>K2072</f>
        <v>0</v>
      </c>
      <c r="L1807" s="155">
        <f>SUM(L557)</f>
        <v>9355</v>
      </c>
      <c r="M1807" s="155">
        <f>SUM(M557)</f>
        <v>1212</v>
      </c>
      <c r="N1807" s="430">
        <f t="shared" si="260"/>
        <v>12.955638695884552</v>
      </c>
      <c r="O1807" s="406">
        <f>SUM(O557)</f>
        <v>2256</v>
      </c>
      <c r="P1807" s="430">
        <f t="shared" si="261"/>
        <v>24.115446285408872</v>
      </c>
      <c r="Q1807" s="406">
        <f>SUM(Q557)</f>
        <v>3241</v>
      </c>
      <c r="R1807" s="430">
        <f t="shared" si="262"/>
        <v>34.64457509353287</v>
      </c>
      <c r="S1807" s="628">
        <f>SUM(S557)</f>
        <v>4496</v>
      </c>
      <c r="T1807" s="537">
        <f t="shared" si="263"/>
        <v>48.05986103687868</v>
      </c>
    </row>
    <row r="1808" spans="1:20" ht="12.75">
      <c r="A1808" s="153" t="s">
        <v>169</v>
      </c>
      <c r="B1808" s="24" t="s">
        <v>170</v>
      </c>
      <c r="C1808" s="24"/>
      <c r="G1808" s="155">
        <f>G2149</f>
        <v>0</v>
      </c>
      <c r="H1808" s="155">
        <f>H2149</f>
        <v>0</v>
      </c>
      <c r="I1808" s="155">
        <f>I2149</f>
        <v>0</v>
      </c>
      <c r="J1808" s="155">
        <f>J2149</f>
        <v>0</v>
      </c>
      <c r="K1808" s="155">
        <f>K2149</f>
        <v>0</v>
      </c>
      <c r="L1808" s="155">
        <f>SUM(L654)</f>
        <v>21917</v>
      </c>
      <c r="M1808" s="155">
        <f>SUM(M654)</f>
        <v>3223</v>
      </c>
      <c r="N1808" s="430">
        <f t="shared" si="260"/>
        <v>14.705479764566318</v>
      </c>
      <c r="O1808" s="406">
        <f>SUM(O654)</f>
        <v>5038</v>
      </c>
      <c r="P1808" s="430">
        <f t="shared" si="261"/>
        <v>22.98672263539718</v>
      </c>
      <c r="Q1808" s="406">
        <f>SUM(Q654)</f>
        <v>7881</v>
      </c>
      <c r="R1808" s="430">
        <f t="shared" si="262"/>
        <v>35.95838846557467</v>
      </c>
      <c r="S1808" s="628">
        <f>SUM(S654)</f>
        <v>8178</v>
      </c>
      <c r="T1808" s="537">
        <f t="shared" si="263"/>
        <v>37.31350093534699</v>
      </c>
    </row>
    <row r="1809" spans="1:20" ht="12.75">
      <c r="A1809" s="153" t="s">
        <v>171</v>
      </c>
      <c r="B1809" s="24" t="s">
        <v>172</v>
      </c>
      <c r="C1809" s="24"/>
      <c r="G1809" s="155">
        <f>G2284</f>
        <v>0</v>
      </c>
      <c r="H1809" s="155">
        <f>H2284</f>
        <v>0</v>
      </c>
      <c r="I1809" s="155">
        <f>I2284</f>
        <v>0</v>
      </c>
      <c r="J1809" s="155">
        <f>J2284</f>
        <v>0</v>
      </c>
      <c r="K1809" s="155">
        <f>K2284</f>
        <v>0</v>
      </c>
      <c r="L1809" s="155">
        <f>SUM(L788)</f>
        <v>282</v>
      </c>
      <c r="M1809" s="155" t="e">
        <f>SUM(M788)</f>
        <v>#REF!</v>
      </c>
      <c r="N1809" s="430" t="e">
        <f t="shared" si="260"/>
        <v>#REF!</v>
      </c>
      <c r="O1809" s="406" t="e">
        <f>SUM(O788)</f>
        <v>#REF!</v>
      </c>
      <c r="P1809" s="430" t="e">
        <f t="shared" si="261"/>
        <v>#REF!</v>
      </c>
      <c r="Q1809" s="406" t="e">
        <f>SUM(Q788)</f>
        <v>#REF!</v>
      </c>
      <c r="R1809" s="430" t="e">
        <f t="shared" si="262"/>
        <v>#REF!</v>
      </c>
      <c r="S1809" s="628">
        <f>SUM(S788)</f>
        <v>90</v>
      </c>
      <c r="T1809" s="537">
        <f t="shared" si="263"/>
        <v>31.914893617021278</v>
      </c>
    </row>
    <row r="1810" spans="1:20" ht="12.75">
      <c r="A1810" s="153" t="s">
        <v>173</v>
      </c>
      <c r="B1810" s="24" t="s">
        <v>174</v>
      </c>
      <c r="C1810" s="24"/>
      <c r="G1810" s="155">
        <f>G2321</f>
        <v>0</v>
      </c>
      <c r="H1810" s="155">
        <f>H2321</f>
        <v>0</v>
      </c>
      <c r="I1810" s="155">
        <f>I2321</f>
        <v>0</v>
      </c>
      <c r="J1810" s="155">
        <f>J2321</f>
        <v>0</v>
      </c>
      <c r="K1810" s="155">
        <f>K2321</f>
        <v>0</v>
      </c>
      <c r="L1810" s="155">
        <f>SUM(L824)</f>
        <v>1654</v>
      </c>
      <c r="M1810" s="155">
        <f>SUM(M824)</f>
        <v>144</v>
      </c>
      <c r="N1810" s="430">
        <f t="shared" si="260"/>
        <v>8.706166868198308</v>
      </c>
      <c r="O1810" s="406">
        <f>SUM(O824)</f>
        <v>237</v>
      </c>
      <c r="P1810" s="430">
        <f t="shared" si="261"/>
        <v>14.328899637243047</v>
      </c>
      <c r="Q1810" s="406">
        <f>SUM(Q824)</f>
        <v>410</v>
      </c>
      <c r="R1810" s="430">
        <f t="shared" si="262"/>
        <v>24.78839177750907</v>
      </c>
      <c r="S1810" s="628">
        <f>SUM(S824)</f>
        <v>447</v>
      </c>
      <c r="T1810" s="537">
        <f t="shared" si="263"/>
        <v>27.02539298669891</v>
      </c>
    </row>
    <row r="1811" spans="1:20" ht="12.75">
      <c r="A1811" s="153" t="s">
        <v>175</v>
      </c>
      <c r="B1811" s="24" t="s">
        <v>176</v>
      </c>
      <c r="C1811" s="24"/>
      <c r="G1811" s="155">
        <f>G2349</f>
        <v>0</v>
      </c>
      <c r="H1811" s="155">
        <f>H2349</f>
        <v>0</v>
      </c>
      <c r="I1811" s="155">
        <f>I2349</f>
        <v>0</v>
      </c>
      <c r="J1811" s="155">
        <f>J2349</f>
        <v>0</v>
      </c>
      <c r="K1811" s="155">
        <f>K2349</f>
        <v>0</v>
      </c>
      <c r="L1811" s="155">
        <f>SUM(L865)</f>
        <v>1296</v>
      </c>
      <c r="M1811" s="155">
        <f>SUM(M865)</f>
        <v>266</v>
      </c>
      <c r="N1811" s="430">
        <f t="shared" si="260"/>
        <v>20.52469135802469</v>
      </c>
      <c r="O1811" s="406">
        <f>SUM(O865)</f>
        <v>266</v>
      </c>
      <c r="P1811" s="430">
        <f t="shared" si="261"/>
        <v>20.52469135802469</v>
      </c>
      <c r="Q1811" s="406">
        <f>SUM(Q865)</f>
        <v>969</v>
      </c>
      <c r="R1811" s="430">
        <f t="shared" si="262"/>
        <v>74.76851851851852</v>
      </c>
      <c r="S1811" s="628">
        <f>SUM(S865)</f>
        <v>974</v>
      </c>
      <c r="T1811" s="537">
        <f t="shared" si="263"/>
        <v>75.15432098765432</v>
      </c>
    </row>
    <row r="1812" spans="1:20" ht="12.75">
      <c r="A1812" s="153"/>
      <c r="B1812" s="24" t="s">
        <v>177</v>
      </c>
      <c r="C1812" s="24"/>
      <c r="G1812" s="155">
        <f>G2395</f>
        <v>0</v>
      </c>
      <c r="H1812" s="155">
        <f>H2395</f>
        <v>0</v>
      </c>
      <c r="I1812" s="155">
        <f>I2395</f>
        <v>0</v>
      </c>
      <c r="J1812" s="155">
        <f>J2395</f>
        <v>0</v>
      </c>
      <c r="K1812" s="155">
        <f>K2395</f>
        <v>0</v>
      </c>
      <c r="L1812" s="155">
        <f>SUM(L931)</f>
        <v>3644</v>
      </c>
      <c r="M1812" s="155">
        <f>SUM(M930)</f>
        <v>473</v>
      </c>
      <c r="N1812" s="430">
        <f t="shared" si="260"/>
        <v>12.980241492864982</v>
      </c>
      <c r="O1812" s="406">
        <f>SUM(O930)</f>
        <v>687</v>
      </c>
      <c r="P1812" s="430">
        <f t="shared" si="261"/>
        <v>18.85290889132821</v>
      </c>
      <c r="Q1812" s="406" t="e">
        <f>SUM(Q930)</f>
        <v>#REF!</v>
      </c>
      <c r="R1812" s="430" t="e">
        <f t="shared" si="262"/>
        <v>#REF!</v>
      </c>
      <c r="S1812" s="628">
        <f>SUM(S930)</f>
        <v>1372</v>
      </c>
      <c r="T1812" s="537">
        <f t="shared" si="263"/>
        <v>37.65093304061471</v>
      </c>
    </row>
    <row r="1813" spans="1:20" ht="12.75">
      <c r="A1813" s="153" t="s">
        <v>178</v>
      </c>
      <c r="B1813" s="24" t="s">
        <v>179</v>
      </c>
      <c r="C1813" s="24"/>
      <c r="G1813" s="155">
        <f>G2486</f>
        <v>0</v>
      </c>
      <c r="H1813" s="155">
        <f>H2486</f>
        <v>0</v>
      </c>
      <c r="I1813" s="155">
        <f>I2486</f>
        <v>0</v>
      </c>
      <c r="J1813" s="155">
        <f>J2486</f>
        <v>0</v>
      </c>
      <c r="K1813" s="155">
        <f>K2486</f>
        <v>0</v>
      </c>
      <c r="L1813" s="155">
        <f>SUM(L1020)</f>
        <v>33033</v>
      </c>
      <c r="M1813" s="155">
        <f>SUM(M1020)</f>
        <v>12207</v>
      </c>
      <c r="N1813" s="430">
        <f t="shared" si="260"/>
        <v>36.95395513577332</v>
      </c>
      <c r="O1813" s="406">
        <f>SUM(O1020)</f>
        <v>14528</v>
      </c>
      <c r="P1813" s="430">
        <f t="shared" si="261"/>
        <v>43.980262162080344</v>
      </c>
      <c r="Q1813" s="406">
        <f>SUM(Q1020)</f>
        <v>17927</v>
      </c>
      <c r="R1813" s="430">
        <f t="shared" si="262"/>
        <v>54.269972451790636</v>
      </c>
      <c r="S1813" s="628">
        <f>SUM(S1020)</f>
        <v>20637</v>
      </c>
      <c r="T1813" s="537">
        <f t="shared" si="263"/>
        <v>62.47388974661702</v>
      </c>
    </row>
    <row r="1814" spans="1:20" ht="12.75">
      <c r="A1814" s="153" t="s">
        <v>180</v>
      </c>
      <c r="B1814" s="24" t="s">
        <v>181</v>
      </c>
      <c r="C1814" s="24"/>
      <c r="G1814" s="155">
        <f>G2531</f>
        <v>0</v>
      </c>
      <c r="H1814" s="155">
        <f>H2531</f>
        <v>0</v>
      </c>
      <c r="I1814" s="155">
        <f>I2531</f>
        <v>0</v>
      </c>
      <c r="J1814" s="155">
        <f>J2531</f>
        <v>0</v>
      </c>
      <c r="K1814" s="155">
        <f>K2531</f>
        <v>0</v>
      </c>
      <c r="L1814" s="155">
        <f>SUM(L1087)</f>
        <v>1637</v>
      </c>
      <c r="M1814" s="155">
        <f>SUM(M1086)</f>
        <v>251</v>
      </c>
      <c r="N1814" s="430">
        <f t="shared" si="260"/>
        <v>15.33292608430055</v>
      </c>
      <c r="O1814" s="406">
        <f>SUM(O1087)</f>
        <v>271</v>
      </c>
      <c r="P1814" s="430">
        <f t="shared" si="261"/>
        <v>16.554673182651193</v>
      </c>
      <c r="Q1814" s="406">
        <f>SUM(Q1087)</f>
        <v>369</v>
      </c>
      <c r="R1814" s="430">
        <f t="shared" si="262"/>
        <v>22.541233964569336</v>
      </c>
      <c r="S1814" s="628">
        <f>SUM(S1087)</f>
        <v>376</v>
      </c>
      <c r="T1814" s="537">
        <f t="shared" si="263"/>
        <v>22.96884544899206</v>
      </c>
    </row>
    <row r="1815" spans="1:20" ht="12.75">
      <c r="A1815" s="153" t="s">
        <v>182</v>
      </c>
      <c r="B1815" s="24" t="s">
        <v>183</v>
      </c>
      <c r="C1815" s="24"/>
      <c r="G1815" s="155">
        <f>G2592</f>
        <v>0</v>
      </c>
      <c r="H1815" s="155">
        <f>H2592</f>
        <v>0</v>
      </c>
      <c r="I1815" s="155">
        <f>I2592</f>
        <v>0</v>
      </c>
      <c r="J1815" s="155">
        <f>J2592</f>
        <v>0</v>
      </c>
      <c r="K1815" s="155">
        <f>K2592</f>
        <v>0</v>
      </c>
      <c r="L1815" s="155">
        <f>SUM(L1156)</f>
        <v>43619</v>
      </c>
      <c r="M1815" s="155">
        <f>SUM(M1156)</f>
        <v>4430</v>
      </c>
      <c r="N1815" s="430">
        <f t="shared" si="260"/>
        <v>10.156124624590202</v>
      </c>
      <c r="O1815" s="406">
        <f>SUM(O1156)</f>
        <v>6635</v>
      </c>
      <c r="P1815" s="430">
        <f t="shared" si="261"/>
        <v>15.21126114766501</v>
      </c>
      <c r="Q1815" s="406">
        <f>SUM(Q1156)</f>
        <v>13326</v>
      </c>
      <c r="R1815" s="430">
        <f t="shared" si="262"/>
        <v>30.55090671496366</v>
      </c>
      <c r="S1815" s="628">
        <f>SUM(S1156)</f>
        <v>13655</v>
      </c>
      <c r="T1815" s="537">
        <f t="shared" si="263"/>
        <v>31.305165180311334</v>
      </c>
    </row>
    <row r="1816" spans="1:20" ht="12.75">
      <c r="A1816" s="153" t="s">
        <v>184</v>
      </c>
      <c r="B1816" s="24" t="s">
        <v>185</v>
      </c>
      <c r="C1816" s="24"/>
      <c r="G1816" s="155">
        <f>G2635</f>
        <v>0</v>
      </c>
      <c r="H1816" s="155">
        <f>H2635</f>
        <v>0</v>
      </c>
      <c r="I1816" s="155">
        <f>I2635</f>
        <v>0</v>
      </c>
      <c r="J1816" s="155">
        <f>J2635</f>
        <v>0</v>
      </c>
      <c r="K1816" s="155">
        <f>K2635</f>
        <v>0</v>
      </c>
      <c r="L1816" s="155">
        <f>SUM(L1211)</f>
        <v>531</v>
      </c>
      <c r="M1816" s="155">
        <f>SUM(M1211)</f>
        <v>108</v>
      </c>
      <c r="N1816" s="430">
        <f t="shared" si="260"/>
        <v>20.33898305084746</v>
      </c>
      <c r="O1816" s="406">
        <f>SUM(O1211)</f>
        <v>108</v>
      </c>
      <c r="P1816" s="430">
        <f t="shared" si="261"/>
        <v>20.33898305084746</v>
      </c>
      <c r="Q1816" s="406">
        <f>SUM(Q1211)</f>
        <v>134</v>
      </c>
      <c r="R1816" s="430">
        <f t="shared" si="262"/>
        <v>25.235404896421848</v>
      </c>
      <c r="S1816" s="628">
        <f>SUM(S1211)</f>
        <v>135</v>
      </c>
      <c r="T1816" s="537">
        <f t="shared" si="263"/>
        <v>25.423728813559322</v>
      </c>
    </row>
    <row r="1817" spans="1:20" ht="12.75">
      <c r="A1817" s="153" t="s">
        <v>186</v>
      </c>
      <c r="B1817" s="24" t="s">
        <v>187</v>
      </c>
      <c r="C1817" s="24"/>
      <c r="G1817" s="155">
        <f>G2659</f>
        <v>0</v>
      </c>
      <c r="H1817" s="155">
        <f>H2659</f>
        <v>0</v>
      </c>
      <c r="I1817" s="155">
        <f>I2659</f>
        <v>0</v>
      </c>
      <c r="J1817" s="155">
        <f>J2659</f>
        <v>0</v>
      </c>
      <c r="K1817" s="155">
        <f>K2659</f>
        <v>0</v>
      </c>
      <c r="L1817" s="155">
        <f>SUM(L1245)</f>
        <v>13169</v>
      </c>
      <c r="M1817" s="155">
        <f>SUM(M1244)</f>
        <v>3292</v>
      </c>
      <c r="N1817" s="430">
        <f t="shared" si="260"/>
        <v>24.9981016022477</v>
      </c>
      <c r="O1817" s="406">
        <f>SUM(O1245)</f>
        <v>4390</v>
      </c>
      <c r="P1817" s="430">
        <f t="shared" si="261"/>
        <v>33.335864530336394</v>
      </c>
      <c r="Q1817" s="406">
        <f>SUM(Q1245)</f>
        <v>6585</v>
      </c>
      <c r="R1817" s="430">
        <f t="shared" si="262"/>
        <v>50.0037967955046</v>
      </c>
      <c r="S1817" s="628">
        <f>SUM(S1245)</f>
        <v>6585</v>
      </c>
      <c r="T1817" s="537">
        <f t="shared" si="263"/>
        <v>50.0037967955046</v>
      </c>
    </row>
    <row r="1818" spans="1:20" ht="12.75">
      <c r="A1818" s="153" t="s">
        <v>188</v>
      </c>
      <c r="B1818" s="24" t="s">
        <v>189</v>
      </c>
      <c r="C1818" s="24"/>
      <c r="G1818" s="155">
        <f>G2677</f>
        <v>0</v>
      </c>
      <c r="H1818" s="155">
        <f>H2677</f>
        <v>0</v>
      </c>
      <c r="I1818" s="155">
        <f>I2677</f>
        <v>0</v>
      </c>
      <c r="J1818" s="155">
        <f>J2677</f>
        <v>0</v>
      </c>
      <c r="K1818" s="155">
        <f>K2677</f>
        <v>0</v>
      </c>
      <c r="L1818" s="155">
        <f>SUM(L1271)</f>
        <v>30027</v>
      </c>
      <c r="M1818" s="155">
        <f>SUM(M1270)</f>
        <v>6655</v>
      </c>
      <c r="N1818" s="430">
        <f t="shared" si="260"/>
        <v>22.163386285676225</v>
      </c>
      <c r="O1818" s="406">
        <f>SUM(O1270)</f>
        <v>9404</v>
      </c>
      <c r="P1818" s="430">
        <f t="shared" si="261"/>
        <v>31.318480034635492</v>
      </c>
      <c r="Q1818" s="406">
        <f>SUM(Q1270)</f>
        <v>21676</v>
      </c>
      <c r="R1818" s="430">
        <f t="shared" si="262"/>
        <v>72.18836380590801</v>
      </c>
      <c r="S1818" s="628">
        <f>SUM(S1271)</f>
        <v>14467</v>
      </c>
      <c r="T1818" s="537">
        <f t="shared" si="263"/>
        <v>48.179971359110134</v>
      </c>
    </row>
    <row r="1819" spans="1:20" ht="12.75">
      <c r="A1819" s="153" t="s">
        <v>190</v>
      </c>
      <c r="B1819" s="24" t="s">
        <v>191</v>
      </c>
      <c r="C1819" s="24"/>
      <c r="G1819" s="155">
        <f>G2714</f>
        <v>0</v>
      </c>
      <c r="H1819" s="155">
        <f>H2714</f>
        <v>0</v>
      </c>
      <c r="I1819" s="155">
        <f>I2714</f>
        <v>0</v>
      </c>
      <c r="J1819" s="155">
        <f>J2714</f>
        <v>0</v>
      </c>
      <c r="K1819" s="155">
        <f>K2714</f>
        <v>0</v>
      </c>
      <c r="L1819" s="155">
        <f>SUM(L1331)</f>
        <v>8768</v>
      </c>
      <c r="M1819" s="155">
        <f>SUM(M1331)</f>
        <v>1283</v>
      </c>
      <c r="N1819" s="430">
        <f t="shared" si="260"/>
        <v>14.632755474452555</v>
      </c>
      <c r="O1819" s="406">
        <f>SUM(O1331)</f>
        <v>1924</v>
      </c>
      <c r="P1819" s="430">
        <f t="shared" si="261"/>
        <v>21.943430656934307</v>
      </c>
      <c r="Q1819" s="406">
        <f>SUM(Q1331)</f>
        <v>3408</v>
      </c>
      <c r="R1819" s="430">
        <f t="shared" si="262"/>
        <v>38.86861313868613</v>
      </c>
      <c r="S1819" s="628">
        <f>SUM(S1331)</f>
        <v>4199</v>
      </c>
      <c r="T1819" s="537">
        <f t="shared" si="263"/>
        <v>47.89005474452554</v>
      </c>
    </row>
    <row r="1820" spans="1:20" ht="12.75">
      <c r="A1820" s="156" t="s">
        <v>192</v>
      </c>
      <c r="B1820" s="24" t="s">
        <v>193</v>
      </c>
      <c r="C1820" s="24"/>
      <c r="G1820" s="155">
        <f>G2774</f>
        <v>0</v>
      </c>
      <c r="H1820" s="155">
        <f>H2774</f>
        <v>0</v>
      </c>
      <c r="I1820" s="155">
        <f>I2774</f>
        <v>0</v>
      </c>
      <c r="J1820" s="155">
        <f>J2774</f>
        <v>0</v>
      </c>
      <c r="K1820" s="155">
        <f>K2774</f>
        <v>0</v>
      </c>
      <c r="L1820" s="155">
        <f>SUM(L1393)</f>
        <v>50</v>
      </c>
      <c r="M1820" s="155">
        <f>SUM(M1393)</f>
        <v>0</v>
      </c>
      <c r="N1820" s="430">
        <f t="shared" si="260"/>
        <v>0</v>
      </c>
      <c r="O1820" s="406">
        <f>SUM(O1393)</f>
        <v>0</v>
      </c>
      <c r="P1820" s="430">
        <f t="shared" si="261"/>
        <v>0</v>
      </c>
      <c r="Q1820" s="406">
        <f>SUM(Q1393)</f>
        <v>0</v>
      </c>
      <c r="R1820" s="430">
        <f t="shared" si="262"/>
        <v>0</v>
      </c>
      <c r="S1820" s="628">
        <f>SUM(S1393)</f>
        <v>0</v>
      </c>
      <c r="T1820" s="13"/>
    </row>
    <row r="1821" spans="1:20" ht="12.75">
      <c r="A1821" s="156" t="s">
        <v>194</v>
      </c>
      <c r="B1821" s="24" t="s">
        <v>195</v>
      </c>
      <c r="C1821" s="24"/>
      <c r="G1821" s="155">
        <f>G2731</f>
        <v>0</v>
      </c>
      <c r="H1821" s="155">
        <f>H2731</f>
        <v>0</v>
      </c>
      <c r="I1821" s="155">
        <f>I2731</f>
        <v>0</v>
      </c>
      <c r="J1821" s="155">
        <f>J2731</f>
        <v>0</v>
      </c>
      <c r="K1821" s="155">
        <f>K2731</f>
        <v>0</v>
      </c>
      <c r="L1821" s="155">
        <f>SUM(L1349)</f>
        <v>861</v>
      </c>
      <c r="M1821" s="155">
        <f>SUM(M1349)</f>
        <v>226</v>
      </c>
      <c r="N1821" s="430">
        <f t="shared" si="260"/>
        <v>26.24854819976771</v>
      </c>
      <c r="O1821" s="406">
        <f>SUM(O1349)</f>
        <v>323</v>
      </c>
      <c r="P1821" s="430">
        <f t="shared" si="261"/>
        <v>37.51451800232288</v>
      </c>
      <c r="Q1821" s="406">
        <f>SUM(Q1349)</f>
        <v>464</v>
      </c>
      <c r="R1821" s="430">
        <f t="shared" si="262"/>
        <v>53.89082462253194</v>
      </c>
      <c r="S1821" s="628">
        <f>SUM(S1349)</f>
        <v>478</v>
      </c>
      <c r="T1821" s="537">
        <f aca="true" t="shared" si="264" ref="T1821:T1832">SUM(S1821/L1821)*100</f>
        <v>55.51684088269454</v>
      </c>
    </row>
    <row r="1822" spans="1:20" ht="12.75">
      <c r="A1822" s="153" t="s">
        <v>196</v>
      </c>
      <c r="B1822" s="24" t="s">
        <v>197</v>
      </c>
      <c r="C1822" s="24"/>
      <c r="G1822" s="155">
        <f>G2788</f>
        <v>0</v>
      </c>
      <c r="H1822" s="155">
        <f>H2788</f>
        <v>0</v>
      </c>
      <c r="I1822" s="155">
        <f>I2788</f>
        <v>0</v>
      </c>
      <c r="J1822" s="155">
        <f>J2788</f>
        <v>0</v>
      </c>
      <c r="K1822" s="155">
        <f>K2788</f>
        <v>0</v>
      </c>
      <c r="L1822" s="155">
        <f>SUM(L1405)</f>
        <v>2508</v>
      </c>
      <c r="M1822" s="155">
        <f>SUM(M1404)</f>
        <v>451</v>
      </c>
      <c r="N1822" s="430">
        <f t="shared" si="260"/>
        <v>17.982456140350877</v>
      </c>
      <c r="O1822" s="406">
        <f>SUM(O1404)</f>
        <v>690</v>
      </c>
      <c r="P1822" s="430">
        <f t="shared" si="261"/>
        <v>27.51196172248804</v>
      </c>
      <c r="Q1822" s="406">
        <f>SUM(Q1404)</f>
        <v>847</v>
      </c>
      <c r="R1822" s="430">
        <f t="shared" si="262"/>
        <v>33.771929824561404</v>
      </c>
      <c r="S1822" s="628">
        <f>SUM(S1404)</f>
        <v>1012</v>
      </c>
      <c r="T1822" s="537">
        <f t="shared" si="264"/>
        <v>40.35087719298245</v>
      </c>
    </row>
    <row r="1823" spans="1:20" ht="12.75">
      <c r="A1823" s="153" t="s">
        <v>198</v>
      </c>
      <c r="B1823" s="24" t="s">
        <v>199</v>
      </c>
      <c r="C1823" s="24"/>
      <c r="G1823" s="155">
        <f>G2811</f>
        <v>0</v>
      </c>
      <c r="H1823" s="155">
        <f>H2811</f>
        <v>0</v>
      </c>
      <c r="I1823" s="155">
        <f>I2811</f>
        <v>0</v>
      </c>
      <c r="J1823" s="155">
        <f>J2811</f>
        <v>0</v>
      </c>
      <c r="K1823" s="155">
        <f>K2811</f>
        <v>0</v>
      </c>
      <c r="L1823" s="155">
        <f>SUM(L1439)</f>
        <v>1303</v>
      </c>
      <c r="M1823" s="155" t="e">
        <f>SUM(M1437)</f>
        <v>#REF!</v>
      </c>
      <c r="N1823" s="430" t="e">
        <f t="shared" si="260"/>
        <v>#REF!</v>
      </c>
      <c r="O1823" s="406">
        <f>SUM(O1437)</f>
        <v>258</v>
      </c>
      <c r="P1823" s="430">
        <f t="shared" si="261"/>
        <v>19.80046047582502</v>
      </c>
      <c r="Q1823" s="406">
        <f>SUM(Q1437)</f>
        <v>2955</v>
      </c>
      <c r="R1823" s="430">
        <f t="shared" si="262"/>
        <v>226.78434382194936</v>
      </c>
      <c r="S1823" s="628">
        <f>SUM(S1439)</f>
        <v>701</v>
      </c>
      <c r="T1823" s="537">
        <f t="shared" si="264"/>
        <v>53.798925556408285</v>
      </c>
    </row>
    <row r="1824" spans="1:20" ht="12.75">
      <c r="A1824" s="153" t="s">
        <v>200</v>
      </c>
      <c r="B1824" s="24" t="s">
        <v>201</v>
      </c>
      <c r="C1824" s="24"/>
      <c r="G1824" s="155">
        <f>G2884</f>
        <v>0</v>
      </c>
      <c r="H1824" s="155">
        <f>H2884</f>
        <v>0</v>
      </c>
      <c r="I1824" s="155">
        <f>I2884</f>
        <v>0</v>
      </c>
      <c r="J1824" s="155">
        <f>J2884</f>
        <v>0</v>
      </c>
      <c r="K1824" s="155">
        <f>K2884</f>
        <v>0</v>
      </c>
      <c r="L1824" s="155">
        <f>SUM(L1504)</f>
        <v>235623</v>
      </c>
      <c r="M1824" s="155">
        <f>SUM(M1504)</f>
        <v>8929</v>
      </c>
      <c r="N1824" s="430">
        <f t="shared" si="260"/>
        <v>3.789528186976653</v>
      </c>
      <c r="O1824" s="406">
        <f>SUM(O1504)</f>
        <v>13098</v>
      </c>
      <c r="P1824" s="430">
        <f t="shared" si="261"/>
        <v>5.558880075374645</v>
      </c>
      <c r="Q1824" s="406">
        <f>SUM(Q1504)</f>
        <v>20047</v>
      </c>
      <c r="R1824" s="430">
        <f t="shared" si="262"/>
        <v>8.508082827228241</v>
      </c>
      <c r="S1824" s="628">
        <f>SUM(S1504)</f>
        <v>94736</v>
      </c>
      <c r="T1824" s="537">
        <f t="shared" si="264"/>
        <v>40.20660122314035</v>
      </c>
    </row>
    <row r="1825" spans="1:20" ht="12.75">
      <c r="A1825" s="153" t="s">
        <v>202</v>
      </c>
      <c r="B1825" s="24" t="s">
        <v>203</v>
      </c>
      <c r="C1825" s="24"/>
      <c r="G1825" s="155">
        <f>G2835</f>
        <v>0</v>
      </c>
      <c r="H1825" s="155">
        <f>H2835</f>
        <v>0</v>
      </c>
      <c r="I1825" s="155">
        <f>I2835</f>
        <v>0</v>
      </c>
      <c r="J1825" s="155">
        <f>J2835</f>
        <v>0</v>
      </c>
      <c r="K1825" s="155">
        <f>K2835</f>
        <v>0</v>
      </c>
      <c r="L1825" s="155">
        <f>SUM(L1466)</f>
        <v>1637</v>
      </c>
      <c r="M1825" s="155">
        <f>SUM(M1466)</f>
        <v>0</v>
      </c>
      <c r="N1825" s="430">
        <f t="shared" si="260"/>
        <v>0</v>
      </c>
      <c r="O1825" s="406">
        <f>SUM(O1466)</f>
        <v>0</v>
      </c>
      <c r="P1825" s="430">
        <f t="shared" si="261"/>
        <v>0</v>
      </c>
      <c r="Q1825" s="406">
        <f>SUM(Q1466)</f>
        <v>498</v>
      </c>
      <c r="R1825" s="430">
        <f t="shared" si="262"/>
        <v>30.421502748930973</v>
      </c>
      <c r="S1825" s="628">
        <f>SUM(S1466)</f>
        <v>498</v>
      </c>
      <c r="T1825" s="537">
        <f t="shared" si="264"/>
        <v>30.421502748930973</v>
      </c>
    </row>
    <row r="1826" spans="1:20" ht="12.75">
      <c r="A1826" s="153" t="s">
        <v>204</v>
      </c>
      <c r="B1826" s="24" t="s">
        <v>205</v>
      </c>
      <c r="C1826" s="24"/>
      <c r="G1826" s="155">
        <f>G2852</f>
        <v>0</v>
      </c>
      <c r="H1826" s="155">
        <f>H2852</f>
        <v>0</v>
      </c>
      <c r="I1826" s="155">
        <f>I2852</f>
        <v>0</v>
      </c>
      <c r="J1826" s="155">
        <f>J2852</f>
        <v>0</v>
      </c>
      <c r="K1826" s="155">
        <f>K2852</f>
        <v>0</v>
      </c>
      <c r="L1826" s="155">
        <f>SUM(L1483)</f>
        <v>50</v>
      </c>
      <c r="M1826" s="155">
        <f>SUM(M1483)</f>
        <v>0</v>
      </c>
      <c r="N1826" s="430">
        <f t="shared" si="260"/>
        <v>0</v>
      </c>
      <c r="O1826" s="406">
        <f>SUM(O1483)</f>
        <v>0</v>
      </c>
      <c r="P1826" s="430">
        <f t="shared" si="261"/>
        <v>0</v>
      </c>
      <c r="Q1826" s="406">
        <f>SUM(Q1483)</f>
        <v>0</v>
      </c>
      <c r="R1826" s="430">
        <f t="shared" si="262"/>
        <v>0</v>
      </c>
      <c r="S1826" s="628">
        <f>SUM(S1483)</f>
        <v>5</v>
      </c>
      <c r="T1826" s="537">
        <f t="shared" si="264"/>
        <v>10</v>
      </c>
    </row>
    <row r="1827" spans="1:20" ht="12.75">
      <c r="A1827" s="153" t="s">
        <v>206</v>
      </c>
      <c r="B1827" s="24" t="s">
        <v>207</v>
      </c>
      <c r="C1827" s="24"/>
      <c r="G1827" s="155">
        <f>G2951</f>
        <v>0</v>
      </c>
      <c r="H1827" s="155">
        <f>H2951</f>
        <v>0</v>
      </c>
      <c r="I1827" s="155">
        <f>I2951</f>
        <v>0</v>
      </c>
      <c r="J1827" s="155">
        <f>J2951</f>
        <v>0</v>
      </c>
      <c r="K1827" s="155">
        <f>K2951</f>
        <v>0</v>
      </c>
      <c r="L1827" s="155">
        <f>SUM(L1571)</f>
        <v>200</v>
      </c>
      <c r="M1827" s="155">
        <f>SUM(M1571)</f>
        <v>24</v>
      </c>
      <c r="N1827" s="430">
        <f t="shared" si="260"/>
        <v>12</v>
      </c>
      <c r="O1827" s="406">
        <f>SUM(O1571)</f>
        <v>29</v>
      </c>
      <c r="P1827" s="430">
        <f t="shared" si="261"/>
        <v>14.499999999999998</v>
      </c>
      <c r="Q1827" s="406">
        <f>SUM(Q1571)</f>
        <v>38</v>
      </c>
      <c r="R1827" s="430">
        <f t="shared" si="262"/>
        <v>19</v>
      </c>
      <c r="S1827" s="628">
        <f>SUM(S1571)</f>
        <v>39</v>
      </c>
      <c r="T1827" s="537">
        <f t="shared" si="264"/>
        <v>19.5</v>
      </c>
    </row>
    <row r="1828" spans="1:20" ht="12.75">
      <c r="A1828" s="156" t="s">
        <v>208</v>
      </c>
      <c r="B1828" s="24" t="s">
        <v>209</v>
      </c>
      <c r="C1828" s="24"/>
      <c r="G1828" s="155">
        <f>G3040</f>
        <v>0</v>
      </c>
      <c r="H1828" s="155">
        <f>H3040</f>
        <v>0</v>
      </c>
      <c r="I1828" s="155">
        <f>I3040</f>
        <v>0</v>
      </c>
      <c r="J1828" s="155">
        <f>J3040</f>
        <v>0</v>
      </c>
      <c r="K1828" s="155">
        <f>K3040</f>
        <v>0</v>
      </c>
      <c r="L1828" s="155">
        <f>SUM(L1695)</f>
        <v>5304</v>
      </c>
      <c r="M1828" s="155">
        <f>SUM(M1695)</f>
        <v>966</v>
      </c>
      <c r="N1828" s="430">
        <f t="shared" si="260"/>
        <v>18.212669683257918</v>
      </c>
      <c r="O1828" s="406">
        <f>SUM(O1695)</f>
        <v>1458</v>
      </c>
      <c r="P1828" s="430">
        <f t="shared" si="261"/>
        <v>27.48868778280543</v>
      </c>
      <c r="Q1828" s="406">
        <f>SUM(Q1695)</f>
        <v>2444</v>
      </c>
      <c r="R1828" s="430">
        <f t="shared" si="262"/>
        <v>46.07843137254902</v>
      </c>
      <c r="S1828" s="628">
        <f>SUM(S1695)</f>
        <v>2500</v>
      </c>
      <c r="T1828" s="537">
        <f t="shared" si="264"/>
        <v>47.134238310708895</v>
      </c>
    </row>
    <row r="1829" spans="1:20" ht="12.75">
      <c r="A1829" s="153" t="s">
        <v>210</v>
      </c>
      <c r="B1829" s="24" t="s">
        <v>211</v>
      </c>
      <c r="C1829" s="24"/>
      <c r="G1829" s="155">
        <f>G2991</f>
        <v>0</v>
      </c>
      <c r="H1829" s="155">
        <f>H2991</f>
        <v>0</v>
      </c>
      <c r="I1829" s="155">
        <f>I2991</f>
        <v>0</v>
      </c>
      <c r="J1829" s="155">
        <f>J2991</f>
        <v>0</v>
      </c>
      <c r="K1829" s="155">
        <f>K2991</f>
        <v>0</v>
      </c>
      <c r="L1829" s="155">
        <f>SUM(L1638)</f>
        <v>15592</v>
      </c>
      <c r="M1829" s="155" t="e">
        <f>SUM(M1637)</f>
        <v>#REF!</v>
      </c>
      <c r="N1829" s="430" t="e">
        <f t="shared" si="260"/>
        <v>#REF!</v>
      </c>
      <c r="O1829" s="406" t="e">
        <f>SUM(O1637)</f>
        <v>#REF!</v>
      </c>
      <c r="P1829" s="430" t="e">
        <f t="shared" si="261"/>
        <v>#REF!</v>
      </c>
      <c r="Q1829" s="406" t="e">
        <f>SUM(Q1637)</f>
        <v>#REF!</v>
      </c>
      <c r="R1829" s="430" t="e">
        <f t="shared" si="262"/>
        <v>#REF!</v>
      </c>
      <c r="S1829" s="628">
        <f>SUM(S1637)</f>
        <v>7650</v>
      </c>
      <c r="T1829" s="537">
        <f t="shared" si="264"/>
        <v>49.06362237044638</v>
      </c>
    </row>
    <row r="1830" spans="1:20" ht="12.75">
      <c r="A1830" s="156" t="s">
        <v>212</v>
      </c>
      <c r="B1830" s="24" t="s">
        <v>213</v>
      </c>
      <c r="C1830" s="24"/>
      <c r="G1830" s="155">
        <f>G3071</f>
        <v>0</v>
      </c>
      <c r="H1830" s="155">
        <f>H3071</f>
        <v>0</v>
      </c>
      <c r="I1830" s="155">
        <f>I3071</f>
        <v>0</v>
      </c>
      <c r="J1830" s="155">
        <f>J3071</f>
        <v>0</v>
      </c>
      <c r="K1830" s="155">
        <f>K3071</f>
        <v>0</v>
      </c>
      <c r="L1830" s="155">
        <f>SUM(L1731)</f>
        <v>718</v>
      </c>
      <c r="M1830" s="155">
        <f>SUM(M1731)</f>
        <v>73</v>
      </c>
      <c r="N1830" s="430">
        <f t="shared" si="260"/>
        <v>10.167130919220057</v>
      </c>
      <c r="O1830" s="406">
        <f>SUM(O1731)</f>
        <v>107</v>
      </c>
      <c r="P1830" s="430">
        <f t="shared" si="261"/>
        <v>14.902506963788301</v>
      </c>
      <c r="Q1830" s="406">
        <f>SUM(Q1731)</f>
        <v>181</v>
      </c>
      <c r="R1830" s="430">
        <f t="shared" si="262"/>
        <v>25.20891364902507</v>
      </c>
      <c r="S1830" s="628">
        <f>SUM(S1731)</f>
        <v>185</v>
      </c>
      <c r="T1830" s="537">
        <f t="shared" si="264"/>
        <v>25.766016713091922</v>
      </c>
    </row>
    <row r="1831" spans="1:20" ht="12.75">
      <c r="A1831" s="153" t="s">
        <v>214</v>
      </c>
      <c r="B1831" s="24" t="s">
        <v>215</v>
      </c>
      <c r="C1831" s="24"/>
      <c r="G1831" s="155">
        <f>G3025</f>
        <v>0</v>
      </c>
      <c r="H1831" s="155">
        <f>H3025</f>
        <v>0</v>
      </c>
      <c r="I1831" s="155">
        <f>I3025</f>
        <v>0</v>
      </c>
      <c r="J1831" s="155">
        <f>J3025</f>
        <v>0</v>
      </c>
      <c r="K1831" s="155">
        <f>K3025</f>
        <v>0</v>
      </c>
      <c r="L1831" s="155">
        <f>SUM(L1676)</f>
        <v>650</v>
      </c>
      <c r="M1831" s="155">
        <f>SUM(M1676)</f>
        <v>124</v>
      </c>
      <c r="N1831" s="430">
        <f t="shared" si="260"/>
        <v>19.076923076923077</v>
      </c>
      <c r="O1831" s="406">
        <f>SUM(O1676)</f>
        <v>155</v>
      </c>
      <c r="P1831" s="430">
        <f t="shared" si="261"/>
        <v>23.846153846153847</v>
      </c>
      <c r="Q1831" s="406">
        <f>SUM(Q1676)</f>
        <v>205</v>
      </c>
      <c r="R1831" s="430">
        <f t="shared" si="262"/>
        <v>31.538461538461537</v>
      </c>
      <c r="S1831" s="628">
        <f>SUM(S1676)</f>
        <v>212</v>
      </c>
      <c r="T1831" s="537">
        <f t="shared" si="264"/>
        <v>32.61538461538461</v>
      </c>
    </row>
    <row r="1832" spans="1:20" ht="12.75">
      <c r="A1832" s="156" t="s">
        <v>216</v>
      </c>
      <c r="B1832" s="24" t="s">
        <v>217</v>
      </c>
      <c r="C1832" s="24"/>
      <c r="G1832" s="155">
        <f>G3092</f>
        <v>0</v>
      </c>
      <c r="H1832" s="155">
        <f>H3092</f>
        <v>0</v>
      </c>
      <c r="I1832" s="155">
        <f>I3092</f>
        <v>0</v>
      </c>
      <c r="J1832" s="155">
        <f>J3092</f>
        <v>0</v>
      </c>
      <c r="K1832" s="155">
        <f>K3092</f>
        <v>0</v>
      </c>
      <c r="L1832" s="155">
        <f>SUM(L1753)</f>
        <v>164</v>
      </c>
      <c r="M1832" s="155">
        <f>SUM(M1753)</f>
        <v>14</v>
      </c>
      <c r="N1832" s="430">
        <f t="shared" si="260"/>
        <v>8.536585365853659</v>
      </c>
      <c r="O1832" s="406">
        <f>SUM(O1753)</f>
        <v>21</v>
      </c>
      <c r="P1832" s="430">
        <f t="shared" si="261"/>
        <v>12.804878048780488</v>
      </c>
      <c r="Q1832" s="406">
        <f>SUM(Q1753)</f>
        <v>31</v>
      </c>
      <c r="R1832" s="430">
        <f t="shared" si="262"/>
        <v>18.902439024390244</v>
      </c>
      <c r="S1832" s="628">
        <f>SUM(S1753)</f>
        <v>32</v>
      </c>
      <c r="T1832" s="537">
        <f t="shared" si="264"/>
        <v>19.51219512195122</v>
      </c>
    </row>
    <row r="1833" spans="1:20" ht="12.75">
      <c r="A1833" s="156" t="s">
        <v>216</v>
      </c>
      <c r="B1833" s="24" t="s">
        <v>218</v>
      </c>
      <c r="C1833" s="24"/>
      <c r="G1833" s="155">
        <f>G3110</f>
        <v>0</v>
      </c>
      <c r="H1833" s="155">
        <f>H3110</f>
        <v>0</v>
      </c>
      <c r="I1833" s="155">
        <f>I3110</f>
        <v>0</v>
      </c>
      <c r="J1833" s="155">
        <f>J3110</f>
        <v>0</v>
      </c>
      <c r="K1833" s="155">
        <f>K3110</f>
        <v>0</v>
      </c>
      <c r="L1833" s="155">
        <f>SUM(L1771)</f>
        <v>0</v>
      </c>
      <c r="M1833" s="155">
        <f>SUM(M1771)</f>
        <v>0</v>
      </c>
      <c r="N1833" s="430"/>
      <c r="O1833" s="406">
        <f>SUM(O1771)</f>
        <v>0</v>
      </c>
      <c r="P1833" s="430"/>
      <c r="Q1833" s="406">
        <f>SUM(Q1771)</f>
        <v>0</v>
      </c>
      <c r="R1833" s="430"/>
      <c r="S1833" s="628">
        <f>SUM(S1771)</f>
        <v>0</v>
      </c>
      <c r="T1833" s="13"/>
    </row>
    <row r="1834" spans="1:20" ht="12.75">
      <c r="A1834" s="153" t="s">
        <v>219</v>
      </c>
      <c r="B1834" s="24" t="s">
        <v>220</v>
      </c>
      <c r="C1834" s="24"/>
      <c r="G1834" s="155">
        <f>G2962</f>
        <v>0</v>
      </c>
      <c r="H1834" s="155">
        <f>H2962</f>
        <v>0</v>
      </c>
      <c r="I1834" s="155">
        <f>I2962</f>
        <v>0</v>
      </c>
      <c r="J1834" s="155">
        <f>J2962</f>
        <v>0</v>
      </c>
      <c r="K1834" s="155">
        <f>K2962</f>
        <v>0</v>
      </c>
      <c r="L1834" s="155">
        <f>SUM(L1585)</f>
        <v>220</v>
      </c>
      <c r="M1834" s="155">
        <f>SUM(M1585)</f>
        <v>41</v>
      </c>
      <c r="N1834" s="430">
        <f t="shared" si="260"/>
        <v>18.636363636363637</v>
      </c>
      <c r="O1834" s="406">
        <f>SUM(O1585)</f>
        <v>47</v>
      </c>
      <c r="P1834" s="430">
        <f>SUM(O1834/L1834)*100</f>
        <v>21.363636363636363</v>
      </c>
      <c r="Q1834" s="406">
        <f>SUM(Q1585)</f>
        <v>53</v>
      </c>
      <c r="R1834" s="430">
        <f>SUM(Q1834/L1834)*100</f>
        <v>24.09090909090909</v>
      </c>
      <c r="S1834" s="628">
        <f>SUM(S1585)</f>
        <v>54</v>
      </c>
      <c r="T1834" s="537">
        <f>SUM(S1834/L1834)*100</f>
        <v>24.545454545454547</v>
      </c>
    </row>
    <row r="1835" spans="1:20" ht="13.5" thickBot="1">
      <c r="A1835" s="153" t="s">
        <v>221</v>
      </c>
      <c r="B1835" s="24" t="s">
        <v>222</v>
      </c>
      <c r="C1835" s="24"/>
      <c r="G1835" s="155">
        <f>G2974</f>
        <v>0</v>
      </c>
      <c r="H1835" s="155">
        <f>H2974</f>
        <v>0</v>
      </c>
      <c r="I1835" s="155">
        <f>I2974</f>
        <v>0</v>
      </c>
      <c r="J1835" s="155">
        <f>J2974</f>
        <v>0</v>
      </c>
      <c r="K1835" s="155">
        <f>K2974</f>
        <v>0</v>
      </c>
      <c r="L1835" s="155">
        <f>SUM(L1602)</f>
        <v>1400</v>
      </c>
      <c r="M1835" s="155">
        <f>SUM(M1601)</f>
        <v>38</v>
      </c>
      <c r="N1835" s="430">
        <f t="shared" si="260"/>
        <v>2.7142857142857144</v>
      </c>
      <c r="O1835" s="406">
        <f>SUM(O1601)</f>
        <v>85</v>
      </c>
      <c r="P1835" s="430">
        <f>SUM(O1835/L1835)*100</f>
        <v>6.071428571428571</v>
      </c>
      <c r="Q1835" s="406">
        <f>SUM(Q1601)</f>
        <v>86</v>
      </c>
      <c r="R1835" s="430">
        <f>SUM(Q1835/L1835)*100</f>
        <v>6.142857142857143</v>
      </c>
      <c r="S1835" s="628">
        <f>SUM(S1601)</f>
        <v>86</v>
      </c>
      <c r="T1835" s="537">
        <f>SUM(S1835/L1835)*100</f>
        <v>6.142857142857143</v>
      </c>
    </row>
    <row r="1836" spans="1:20" ht="16.5" thickBot="1">
      <c r="A1836" s="157"/>
      <c r="B1836" s="102" t="s">
        <v>685</v>
      </c>
      <c r="C1836" s="102"/>
      <c r="D1836" s="103"/>
      <c r="E1836" s="103"/>
      <c r="F1836" s="103"/>
      <c r="G1836" s="104">
        <f aca="true" t="shared" si="265" ref="G1836:S1836">SUM(G1803:G1835)</f>
        <v>0</v>
      </c>
      <c r="H1836" s="104">
        <f t="shared" si="265"/>
        <v>0</v>
      </c>
      <c r="I1836" s="104">
        <f t="shared" si="265"/>
        <v>0</v>
      </c>
      <c r="J1836" s="104">
        <f t="shared" si="265"/>
        <v>0</v>
      </c>
      <c r="K1836" s="104">
        <f t="shared" si="265"/>
        <v>0</v>
      </c>
      <c r="L1836" s="104">
        <f t="shared" si="265"/>
        <v>537382</v>
      </c>
      <c r="M1836" s="407" t="e">
        <f t="shared" si="265"/>
        <v>#REF!</v>
      </c>
      <c r="N1836" s="439" t="e">
        <f t="shared" si="260"/>
        <v>#REF!</v>
      </c>
      <c r="O1836" s="407" t="e">
        <f t="shared" si="265"/>
        <v>#REF!</v>
      </c>
      <c r="P1836" s="439" t="e">
        <f>SUM(O1836/L1836)*100</f>
        <v>#REF!</v>
      </c>
      <c r="Q1836" s="407" t="e">
        <f t="shared" si="265"/>
        <v>#REF!</v>
      </c>
      <c r="R1836" s="439" t="e">
        <f>SUM(Q1836/L1836)*100</f>
        <v>#REF!</v>
      </c>
      <c r="S1836" s="723">
        <f t="shared" si="265"/>
        <v>226599</v>
      </c>
      <c r="T1836" s="722">
        <f>SUM(S1836/L1836)*100</f>
        <v>42.16721066206163</v>
      </c>
    </row>
    <row r="1837" spans="1:11" ht="12.75">
      <c r="A1837" s="158"/>
      <c r="B1837" s="158"/>
      <c r="C1837" s="158"/>
      <c r="D1837" s="158"/>
      <c r="E1837" s="158"/>
      <c r="F1837" s="158"/>
      <c r="G1837" s="159"/>
      <c r="H1837" s="159"/>
      <c r="I1837" s="159"/>
      <c r="J1837" s="159"/>
      <c r="K1837" s="160"/>
    </row>
    <row r="1838" spans="1:11" ht="12.75">
      <c r="A1838" s="158"/>
      <c r="B1838" s="158"/>
      <c r="C1838" s="158"/>
      <c r="D1838" s="158"/>
      <c r="E1838" s="158"/>
      <c r="F1838" s="158"/>
      <c r="G1838" s="159"/>
      <c r="H1838" s="159"/>
      <c r="I1838" s="159"/>
      <c r="J1838" s="159"/>
      <c r="K1838" s="160"/>
    </row>
    <row r="1839" spans="1:11" ht="12.75">
      <c r="A1839" s="158"/>
      <c r="B1839" s="158"/>
      <c r="C1839" s="158"/>
      <c r="D1839" s="158"/>
      <c r="E1839" s="158"/>
      <c r="F1839" s="158"/>
      <c r="G1839" s="159"/>
      <c r="H1839" s="159"/>
      <c r="I1839" s="159"/>
      <c r="J1839" s="159"/>
      <c r="K1839" s="160"/>
    </row>
    <row r="1840" spans="1:22" s="2" customFormat="1" ht="15.75">
      <c r="A1840" s="106" t="s">
        <v>686</v>
      </c>
      <c r="B1840" s="106"/>
      <c r="C1840" s="106"/>
      <c r="D1840" s="106"/>
      <c r="E1840" s="106"/>
      <c r="F1840" s="106"/>
      <c r="G1840" s="107"/>
      <c r="H1840" s="107"/>
      <c r="I1840" s="107"/>
      <c r="J1840" s="107"/>
      <c r="K1840" s="486"/>
      <c r="L1840" s="401"/>
      <c r="M1840" s="401"/>
      <c r="N1840" s="436"/>
      <c r="O1840" s="401"/>
      <c r="Q1840" s="401"/>
      <c r="S1840" s="401"/>
      <c r="U1840" s="401"/>
      <c r="V1840" s="401"/>
    </row>
    <row r="1841" spans="1:7" ht="13.5" thickBot="1">
      <c r="A1841" s="161"/>
      <c r="B1841" s="161"/>
      <c r="C1841" s="161"/>
      <c r="D1841" s="162"/>
      <c r="E1841" s="162"/>
      <c r="F1841" s="162"/>
      <c r="G1841" s="162"/>
    </row>
    <row r="1842" spans="1:20" ht="13.5" thickBot="1">
      <c r="A1842" s="133"/>
      <c r="B1842" s="134"/>
      <c r="C1842" s="134"/>
      <c r="D1842" s="134"/>
      <c r="E1842" s="135"/>
      <c r="F1842" s="135"/>
      <c r="G1842" s="15" t="s">
        <v>23</v>
      </c>
      <c r="H1842" s="136"/>
      <c r="I1842" s="137" t="s">
        <v>155</v>
      </c>
      <c r="J1842" s="138" t="s">
        <v>156</v>
      </c>
      <c r="K1842" s="10" t="s">
        <v>25</v>
      </c>
      <c r="L1842" s="238" t="s">
        <v>645</v>
      </c>
      <c r="M1842" s="403" t="s">
        <v>296</v>
      </c>
      <c r="N1842" s="421" t="s">
        <v>681</v>
      </c>
      <c r="O1842" s="403" t="s">
        <v>296</v>
      </c>
      <c r="P1842" s="426" t="s">
        <v>683</v>
      </c>
      <c r="Q1842" s="403" t="s">
        <v>296</v>
      </c>
      <c r="R1842" s="426" t="s">
        <v>681</v>
      </c>
      <c r="S1842" s="415" t="s">
        <v>296</v>
      </c>
      <c r="T1842" s="660" t="s">
        <v>681</v>
      </c>
    </row>
    <row r="1843" spans="1:20" ht="13.5" thickTop="1">
      <c r="A1843" s="139" t="s">
        <v>157</v>
      </c>
      <c r="B1843" s="140" t="s">
        <v>158</v>
      </c>
      <c r="C1843" s="141"/>
      <c r="D1843" s="142"/>
      <c r="E1843" s="142"/>
      <c r="F1843" s="142"/>
      <c r="G1843" s="11" t="s">
        <v>45</v>
      </c>
      <c r="H1843" s="32" t="s">
        <v>27</v>
      </c>
      <c r="I1843" s="6" t="s">
        <v>92</v>
      </c>
      <c r="J1843" s="108" t="s">
        <v>29</v>
      </c>
      <c r="K1843" s="33" t="s">
        <v>46</v>
      </c>
      <c r="L1843" s="208"/>
      <c r="M1843" s="25" t="s">
        <v>297</v>
      </c>
      <c r="N1843" s="422"/>
      <c r="O1843" s="25" t="s">
        <v>750</v>
      </c>
      <c r="P1843" s="547"/>
      <c r="Q1843" s="25" t="s">
        <v>896</v>
      </c>
      <c r="R1843" s="547"/>
      <c r="S1843" s="416" t="s">
        <v>957</v>
      </c>
      <c r="T1843" s="532"/>
    </row>
    <row r="1844" spans="1:20" ht="13.5" thickBot="1">
      <c r="A1844" s="143"/>
      <c r="B1844" s="144"/>
      <c r="C1844" s="145"/>
      <c r="D1844" s="145"/>
      <c r="E1844" s="146"/>
      <c r="F1844" s="147"/>
      <c r="G1844" s="83"/>
      <c r="H1844" s="84">
        <v>38335</v>
      </c>
      <c r="I1844" s="148">
        <v>38587</v>
      </c>
      <c r="J1844" s="110" t="s">
        <v>31</v>
      </c>
      <c r="K1844" s="33" t="s">
        <v>32</v>
      </c>
      <c r="L1844" s="242"/>
      <c r="M1844" s="404"/>
      <c r="N1844" s="423"/>
      <c r="O1844" s="404"/>
      <c r="P1844" s="548"/>
      <c r="Q1844" s="404"/>
      <c r="R1844" s="548"/>
      <c r="S1844" s="411"/>
      <c r="T1844" s="602"/>
    </row>
    <row r="1845" spans="1:20" ht="13.5" thickBot="1">
      <c r="A1845" s="149" t="s">
        <v>47</v>
      </c>
      <c r="B1845" s="150"/>
      <c r="C1845" s="151"/>
      <c r="D1845" s="151" t="s">
        <v>48</v>
      </c>
      <c r="E1845" s="151"/>
      <c r="F1845" s="151"/>
      <c r="G1845" s="152">
        <v>1</v>
      </c>
      <c r="H1845" s="41">
        <v>2</v>
      </c>
      <c r="I1845" s="22">
        <v>3</v>
      </c>
      <c r="J1845" s="22">
        <v>4</v>
      </c>
      <c r="K1845" s="40">
        <v>1</v>
      </c>
      <c r="L1845" s="599">
        <v>1</v>
      </c>
      <c r="N1845" s="424"/>
      <c r="P1845" s="547"/>
      <c r="R1845" s="556"/>
      <c r="S1845" s="416"/>
      <c r="T1845" s="5"/>
    </row>
    <row r="1846" spans="1:20" ht="12.75">
      <c r="A1846" s="724" t="s">
        <v>963</v>
      </c>
      <c r="B1846" t="s">
        <v>160</v>
      </c>
      <c r="G1846" s="154">
        <f>G2034</f>
        <v>0</v>
      </c>
      <c r="H1846" s="154">
        <f>H2034</f>
        <v>0</v>
      </c>
      <c r="I1846" s="154">
        <f>I2034</f>
        <v>0</v>
      </c>
      <c r="J1846" s="154">
        <f>J2034</f>
        <v>0</v>
      </c>
      <c r="K1846" s="154">
        <f>K2034</f>
        <v>0</v>
      </c>
      <c r="L1846" s="154">
        <f>SUM(L432)</f>
        <v>8484</v>
      </c>
      <c r="M1846" s="154" t="e">
        <f>SUM(M432)</f>
        <v>#REF!</v>
      </c>
      <c r="N1846" s="430" t="e">
        <f>SUM(M1846/L1846)*100</f>
        <v>#REF!</v>
      </c>
      <c r="O1846" s="405" t="e">
        <f>SUM(O432)</f>
        <v>#REF!</v>
      </c>
      <c r="P1846" s="525" t="e">
        <f>SUM(O1846/L1846)*100</f>
        <v>#REF!</v>
      </c>
      <c r="Q1846" s="405" t="e">
        <f>SUM(Q432)</f>
        <v>#REF!</v>
      </c>
      <c r="R1846" s="525" t="e">
        <f>SUM(Q1846/L1846)*100</f>
        <v>#REF!</v>
      </c>
      <c r="S1846" s="691">
        <f>SUM(S432)</f>
        <v>557</v>
      </c>
      <c r="T1846" s="709">
        <f>SUM(S1846/L1846)*100</f>
        <v>6.565299387081565</v>
      </c>
    </row>
    <row r="1847" spans="1:20" ht="12.75">
      <c r="A1847" s="14" t="s">
        <v>962</v>
      </c>
      <c r="B1847" t="s">
        <v>965</v>
      </c>
      <c r="G1847" s="155"/>
      <c r="H1847" s="155"/>
      <c r="I1847" s="155"/>
      <c r="J1847" s="155"/>
      <c r="K1847" s="155"/>
      <c r="L1847" s="155">
        <f>SUM(L1198)</f>
        <v>330</v>
      </c>
      <c r="M1847" s="155"/>
      <c r="N1847" s="430"/>
      <c r="O1847" s="406"/>
      <c r="P1847" s="430"/>
      <c r="Q1847" s="406"/>
      <c r="R1847" s="430"/>
      <c r="S1847" s="416">
        <v>0</v>
      </c>
      <c r="T1847" s="13"/>
    </row>
    <row r="1848" spans="1:20" ht="12.75">
      <c r="A1848" s="89" t="s">
        <v>964</v>
      </c>
      <c r="B1848" t="s">
        <v>170</v>
      </c>
      <c r="G1848" s="155">
        <f>G2246</f>
        <v>0</v>
      </c>
      <c r="H1848" s="155">
        <f>H2246</f>
        <v>0</v>
      </c>
      <c r="I1848" s="155">
        <f>I2246</f>
        <v>0</v>
      </c>
      <c r="J1848" s="155">
        <f>J2246</f>
        <v>0</v>
      </c>
      <c r="K1848" s="155">
        <f>K2246</f>
        <v>0</v>
      </c>
      <c r="L1848" s="155">
        <f>SUM(L736)</f>
        <v>1360</v>
      </c>
      <c r="M1848" s="155" t="e">
        <f>SUM(M736)</f>
        <v>#REF!</v>
      </c>
      <c r="N1848" s="430" t="e">
        <f>SUM(M1848/L1848)*100</f>
        <v>#REF!</v>
      </c>
      <c r="O1848" s="406" t="e">
        <f>SUM(O736)</f>
        <v>#REF!</v>
      </c>
      <c r="P1848" s="430" t="e">
        <f>SUM(O1848/L1848)*100</f>
        <v>#REF!</v>
      </c>
      <c r="Q1848" s="406" t="e">
        <f>SUM(Q736)</f>
        <v>#REF!</v>
      </c>
      <c r="R1848" s="430" t="e">
        <f>SUM(Q1848/L1848)*100</f>
        <v>#REF!</v>
      </c>
      <c r="S1848" s="628">
        <f>SUM(S736)</f>
        <v>570</v>
      </c>
      <c r="T1848" s="537">
        <f>SUM(S1848/L1848)*100</f>
        <v>41.911764705882355</v>
      </c>
    </row>
    <row r="1849" spans="1:20" ht="12.75">
      <c r="A1849" s="97" t="s">
        <v>966</v>
      </c>
      <c r="B1849" s="24" t="s">
        <v>176</v>
      </c>
      <c r="C1849" s="24"/>
      <c r="G1849" s="155">
        <f>G2362+G2373+G2375+G2381</f>
        <v>0</v>
      </c>
      <c r="H1849" s="155">
        <f>H2362+H2373+H2375+H2381</f>
        <v>0</v>
      </c>
      <c r="I1849" s="155">
        <f>I2362+I2373+I2375+I2381</f>
        <v>0</v>
      </c>
      <c r="J1849" s="155">
        <f>J2362+J2373+J2375+J2381</f>
        <v>0</v>
      </c>
      <c r="K1849" s="155">
        <f>K2362+K2373+K2375+K2381</f>
        <v>0</v>
      </c>
      <c r="L1849" s="155">
        <f>SUM(L881)</f>
        <v>384193</v>
      </c>
      <c r="M1849" s="155">
        <f>SUM(M881)</f>
        <v>57310</v>
      </c>
      <c r="N1849" s="430">
        <f>SUM(M1849/L1849)*100</f>
        <v>14.916981829445097</v>
      </c>
      <c r="O1849" s="406">
        <f>SUM(O881)</f>
        <v>58972</v>
      </c>
      <c r="P1849" s="430">
        <f>SUM(O1849/L1849)*100</f>
        <v>15.349576905357464</v>
      </c>
      <c r="Q1849" s="406">
        <f>SUM(Q881)</f>
        <v>65970</v>
      </c>
      <c r="R1849" s="430">
        <f>SUM(Q1849/L1849)*100</f>
        <v>17.17105725507753</v>
      </c>
      <c r="S1849" s="628">
        <f>SUM(S881)</f>
        <v>66314</v>
      </c>
      <c r="T1849" s="537">
        <f>SUM(S1849/L1849)*100</f>
        <v>17.260595586072625</v>
      </c>
    </row>
    <row r="1850" spans="1:20" ht="12.75">
      <c r="A1850" s="97" t="s">
        <v>966</v>
      </c>
      <c r="B1850" s="24" t="s">
        <v>177</v>
      </c>
      <c r="C1850" s="24"/>
      <c r="G1850" s="155">
        <f>G2478</f>
        <v>0</v>
      </c>
      <c r="H1850" s="155">
        <f>H2478</f>
        <v>0</v>
      </c>
      <c r="I1850" s="155">
        <f>I2478</f>
        <v>0</v>
      </c>
      <c r="J1850" s="155">
        <f>J2478</f>
        <v>0</v>
      </c>
      <c r="K1850" s="155">
        <f>K2478</f>
        <v>0</v>
      </c>
      <c r="L1850" s="155">
        <f>SUM(L960)</f>
        <v>140</v>
      </c>
      <c r="M1850" s="155"/>
      <c r="N1850" s="532"/>
      <c r="O1850" s="406">
        <v>0</v>
      </c>
      <c r="P1850" s="430"/>
      <c r="Q1850" s="406">
        <v>0</v>
      </c>
      <c r="R1850" s="547"/>
      <c r="S1850" s="628">
        <v>0</v>
      </c>
      <c r="T1850" s="13"/>
    </row>
    <row r="1851" spans="1:20" ht="12.75">
      <c r="A1851" s="97" t="s">
        <v>967</v>
      </c>
      <c r="B1851" s="24" t="s">
        <v>179</v>
      </c>
      <c r="C1851" s="24"/>
      <c r="G1851" s="155">
        <f>G2504+G2507+G2509+G2516+G2524</f>
        <v>0</v>
      </c>
      <c r="H1851" s="155">
        <f>H2504+H2507+H2509+H2516+H2524</f>
        <v>0</v>
      </c>
      <c r="I1851" s="155">
        <f>I2504+I2507+I2509+I2516+I2524</f>
        <v>0</v>
      </c>
      <c r="J1851" s="155">
        <f>J2504+J2507+J2509+J2516+J2524</f>
        <v>0</v>
      </c>
      <c r="K1851" s="155">
        <f>K2504+K2507+K2509+K2516+K2524</f>
        <v>0</v>
      </c>
      <c r="L1851" s="155">
        <f>SUM(L1044)</f>
        <v>53371</v>
      </c>
      <c r="M1851" s="155" t="e">
        <f>SUM(M1044)</f>
        <v>#REF!</v>
      </c>
      <c r="N1851" s="430" t="e">
        <f>SUM(M1851/L1851)*100</f>
        <v>#REF!</v>
      </c>
      <c r="O1851" s="406" t="e">
        <f>SUM(O1044)</f>
        <v>#REF!</v>
      </c>
      <c r="P1851" s="430" t="e">
        <f>SUM(O1851/L1851)*100</f>
        <v>#REF!</v>
      </c>
      <c r="Q1851" s="406" t="e">
        <f>SUM(Q1044)</f>
        <v>#REF!</v>
      </c>
      <c r="R1851" s="430" t="e">
        <f>SUM(Q1851/L1851)*100</f>
        <v>#REF!</v>
      </c>
      <c r="S1851" s="628">
        <f>SUM(S1044)</f>
        <v>17513</v>
      </c>
      <c r="T1851" s="537">
        <f>SUM(S1851/L1851)*100</f>
        <v>32.81370032414607</v>
      </c>
    </row>
    <row r="1852" spans="1:20" ht="12.75">
      <c r="A1852" s="97" t="s">
        <v>968</v>
      </c>
      <c r="B1852" s="24" t="s">
        <v>181</v>
      </c>
      <c r="C1852" s="24"/>
      <c r="G1852" s="155">
        <v>0</v>
      </c>
      <c r="H1852" s="155">
        <v>0</v>
      </c>
      <c r="I1852" s="155">
        <v>0</v>
      </c>
      <c r="J1852" s="155">
        <v>0</v>
      </c>
      <c r="K1852" s="155">
        <v>1032</v>
      </c>
      <c r="L1852" s="155">
        <f>SUM(L1130)</f>
        <v>1282</v>
      </c>
      <c r="M1852" s="155">
        <v>0</v>
      </c>
      <c r="N1852" s="430">
        <f>SUM(M1852/L1852)*100</f>
        <v>0</v>
      </c>
      <c r="O1852" s="406">
        <f>SUM(O1130)</f>
        <v>0</v>
      </c>
      <c r="P1852" s="430">
        <f>SUM(O1852/L1852)*100</f>
        <v>0</v>
      </c>
      <c r="Q1852" s="406">
        <f>SUM(Q1130)</f>
        <v>0</v>
      </c>
      <c r="R1852" s="547"/>
      <c r="S1852" s="628">
        <f>SUM(S1130)</f>
        <v>0</v>
      </c>
      <c r="T1852" s="13"/>
    </row>
    <row r="1853" spans="1:20" ht="12.75">
      <c r="A1853" s="97" t="s">
        <v>969</v>
      </c>
      <c r="B1853" s="24" t="s">
        <v>185</v>
      </c>
      <c r="C1853" s="24"/>
      <c r="G1853" s="155">
        <f>G2645+G2647+G2649</f>
        <v>0</v>
      </c>
      <c r="H1853" s="155">
        <f>H2645+H2647+H2649</f>
        <v>0</v>
      </c>
      <c r="I1853" s="155">
        <f>I2645+I2647+I2649</f>
        <v>0</v>
      </c>
      <c r="J1853" s="155">
        <f>J2645+J2647+J2649</f>
        <v>0</v>
      </c>
      <c r="K1853" s="155">
        <f>K2645+K2647+K2649</f>
        <v>0</v>
      </c>
      <c r="L1853" s="155">
        <f>SUM(L1221)</f>
        <v>9461</v>
      </c>
      <c r="M1853" s="155">
        <f>SUM(M1212)</f>
        <v>0</v>
      </c>
      <c r="N1853" s="425"/>
      <c r="O1853" s="406">
        <f>SUM(O1221)</f>
        <v>0</v>
      </c>
      <c r="P1853" s="547"/>
      <c r="Q1853" s="406" t="e">
        <f>SUM(Q1221)</f>
        <v>#REF!</v>
      </c>
      <c r="R1853" s="430" t="e">
        <f>SUM(Q1853/L1853)*100</f>
        <v>#REF!</v>
      </c>
      <c r="S1853" s="628">
        <f>SUM(S1221)</f>
        <v>8053</v>
      </c>
      <c r="T1853" s="537">
        <f>SUM(S1853/L1853)*100</f>
        <v>85.11785223549307</v>
      </c>
    </row>
    <row r="1854" spans="1:20" ht="12.75">
      <c r="A1854" s="97" t="s">
        <v>705</v>
      </c>
      <c r="B1854" s="24" t="s">
        <v>187</v>
      </c>
      <c r="C1854" s="24"/>
      <c r="G1854" s="155">
        <f>G2665</f>
        <v>0</v>
      </c>
      <c r="H1854" s="155">
        <f>H2665</f>
        <v>0</v>
      </c>
      <c r="I1854" s="155">
        <f>I2665</f>
        <v>0</v>
      </c>
      <c r="J1854" s="155">
        <f>J2665</f>
        <v>0</v>
      </c>
      <c r="K1854" s="155">
        <f>K2665</f>
        <v>0</v>
      </c>
      <c r="L1854" s="155">
        <f>SUM(L1250)</f>
        <v>18675</v>
      </c>
      <c r="M1854" s="155">
        <v>0</v>
      </c>
      <c r="N1854" s="430">
        <f>SUM(M1854/L1854)*100</f>
        <v>0</v>
      </c>
      <c r="O1854" s="406">
        <f>SUM(O1250)</f>
        <v>0</v>
      </c>
      <c r="P1854" s="547"/>
      <c r="Q1854" s="406">
        <f>SUM(Q1250)</f>
        <v>0</v>
      </c>
      <c r="R1854" s="547"/>
      <c r="S1854" s="628">
        <f>SUM(S1250)</f>
        <v>0</v>
      </c>
      <c r="T1854" s="13"/>
    </row>
    <row r="1855" spans="1:20" ht="12.75">
      <c r="A1855" s="97" t="s">
        <v>706</v>
      </c>
      <c r="B1855" s="24" t="s">
        <v>189</v>
      </c>
      <c r="C1855" s="24"/>
      <c r="G1855" s="155">
        <f>G2707</f>
        <v>0</v>
      </c>
      <c r="H1855" s="155">
        <f>H2707</f>
        <v>0</v>
      </c>
      <c r="I1855" s="155">
        <f>I2707</f>
        <v>0</v>
      </c>
      <c r="J1855" s="155">
        <f>J2707</f>
        <v>0</v>
      </c>
      <c r="K1855" s="155">
        <f>K2707</f>
        <v>0</v>
      </c>
      <c r="L1855" s="155">
        <f>SUM(L1302)</f>
        <v>8224</v>
      </c>
      <c r="M1855" s="155">
        <v>0</v>
      </c>
      <c r="N1855" s="425"/>
      <c r="O1855" s="406">
        <v>0</v>
      </c>
      <c r="P1855" s="547"/>
      <c r="Q1855" s="406">
        <v>0</v>
      </c>
      <c r="R1855" s="547"/>
      <c r="S1855" s="628">
        <f>SUM(S1302)</f>
        <v>7708</v>
      </c>
      <c r="T1855" s="13"/>
    </row>
    <row r="1856" spans="1:20" ht="12.75">
      <c r="A1856" s="97" t="s">
        <v>707</v>
      </c>
      <c r="B1856" s="24" t="s">
        <v>197</v>
      </c>
      <c r="C1856" s="24"/>
      <c r="G1856" s="155">
        <v>0</v>
      </c>
      <c r="H1856" s="155">
        <v>0</v>
      </c>
      <c r="I1856" s="155">
        <v>0</v>
      </c>
      <c r="J1856" s="155">
        <v>0</v>
      </c>
      <c r="K1856" s="155">
        <v>1000</v>
      </c>
      <c r="L1856" s="155">
        <f>SUM(L1421)</f>
        <v>1000</v>
      </c>
      <c r="M1856" s="155">
        <f>SUM(M1421)</f>
        <v>0</v>
      </c>
      <c r="N1856" s="425"/>
      <c r="O1856" s="406">
        <f>SUM(O1421)</f>
        <v>0</v>
      </c>
      <c r="P1856" s="547"/>
      <c r="Q1856" s="406">
        <f>SUM(Q1421)</f>
        <v>0</v>
      </c>
      <c r="R1856" s="547"/>
      <c r="S1856" s="628">
        <f>SUM(S1421)</f>
        <v>0</v>
      </c>
      <c r="T1856" s="13"/>
    </row>
    <row r="1857" spans="1:20" ht="12.75">
      <c r="A1857" s="97" t="s">
        <v>708</v>
      </c>
      <c r="B1857" s="24" t="s">
        <v>199</v>
      </c>
      <c r="C1857" s="24"/>
      <c r="G1857" s="155">
        <f>G2825</f>
        <v>0</v>
      </c>
      <c r="H1857" s="155">
        <f>H2825</f>
        <v>0</v>
      </c>
      <c r="I1857" s="155">
        <f>I2825</f>
        <v>0</v>
      </c>
      <c r="J1857" s="155">
        <f>J2825</f>
        <v>0</v>
      </c>
      <c r="K1857" s="155">
        <f>K2825</f>
        <v>0</v>
      </c>
      <c r="L1857" s="155">
        <f>SUM(L1448)</f>
        <v>2000</v>
      </c>
      <c r="M1857" s="155">
        <v>0</v>
      </c>
      <c r="N1857" s="425"/>
      <c r="O1857" s="406">
        <v>0</v>
      </c>
      <c r="P1857" s="547"/>
      <c r="Q1857" s="406">
        <v>0</v>
      </c>
      <c r="R1857" s="547"/>
      <c r="S1857" s="628">
        <f>SUM(S1448)</f>
        <v>2000</v>
      </c>
      <c r="T1857" s="537">
        <f>SUM(S1857/L1857)*100</f>
        <v>100</v>
      </c>
    </row>
    <row r="1858" spans="1:20" ht="12.75">
      <c r="A1858" s="97" t="s">
        <v>210</v>
      </c>
      <c r="B1858" s="24" t="s">
        <v>211</v>
      </c>
      <c r="C1858" s="24"/>
      <c r="G1858" s="155">
        <f>G3016</f>
        <v>0</v>
      </c>
      <c r="H1858" s="155">
        <f>H3016</f>
        <v>0</v>
      </c>
      <c r="I1858" s="155">
        <f>I3016</f>
        <v>0</v>
      </c>
      <c r="J1858" s="155">
        <f>J3016</f>
        <v>0</v>
      </c>
      <c r="K1858" s="155">
        <f>K3016</f>
        <v>0</v>
      </c>
      <c r="L1858" s="155">
        <f>SUM(L1659)</f>
        <v>265</v>
      </c>
      <c r="M1858" s="155">
        <v>0</v>
      </c>
      <c r="N1858" s="425"/>
      <c r="O1858" s="406">
        <v>0</v>
      </c>
      <c r="P1858" s="547"/>
      <c r="Q1858" s="406">
        <v>0</v>
      </c>
      <c r="R1858" s="547"/>
      <c r="S1858" s="628">
        <v>0</v>
      </c>
      <c r="T1858" s="13"/>
    </row>
    <row r="1859" spans="1:20" ht="12.75">
      <c r="A1859" s="71" t="s">
        <v>709</v>
      </c>
      <c r="B1859" s="24" t="s">
        <v>710</v>
      </c>
      <c r="C1859" s="24"/>
      <c r="G1859" s="155">
        <v>6287</v>
      </c>
      <c r="H1859" s="155">
        <f>H2892+H2893+H2894+H2902+H2903+H2935</f>
        <v>0</v>
      </c>
      <c r="I1859" s="155">
        <f>I2892+I2893+I2894+I2902+I2903+I2935</f>
        <v>0</v>
      </c>
      <c r="J1859" s="155">
        <f>J2892+J2893+J2894+J2902+J2903+J2935</f>
        <v>0</v>
      </c>
      <c r="K1859" s="155">
        <f>K2892+K2893+K2894+K2902+K2903+K2935</f>
        <v>0</v>
      </c>
      <c r="L1859" s="155">
        <v>7466</v>
      </c>
      <c r="M1859" s="155">
        <f>SUM(M1546)</f>
        <v>0</v>
      </c>
      <c r="N1859" s="425"/>
      <c r="O1859" s="406">
        <f>SUM(O1546)</f>
        <v>0</v>
      </c>
      <c r="P1859" s="547"/>
      <c r="Q1859" s="406">
        <f>SUM(Q1546)</f>
        <v>0</v>
      </c>
      <c r="R1859" s="547"/>
      <c r="S1859" s="628">
        <f>SUM(S1546)</f>
        <v>3626</v>
      </c>
      <c r="T1859" s="537">
        <f>SUM(S1859/L1859)*100</f>
        <v>48.56683632467185</v>
      </c>
    </row>
    <row r="1860" spans="1:20" ht="13.5" thickBot="1">
      <c r="A1860" s="263" t="s">
        <v>711</v>
      </c>
      <c r="B1860" s="248" t="s">
        <v>712</v>
      </c>
      <c r="C1860" s="212"/>
      <c r="D1860" s="19"/>
      <c r="E1860" s="19"/>
      <c r="F1860" s="20"/>
      <c r="G1860" s="155"/>
      <c r="H1860" s="155"/>
      <c r="I1860" s="155"/>
      <c r="J1860" s="155"/>
      <c r="K1860" s="155"/>
      <c r="L1860" s="155">
        <f>SUM(L1619)</f>
        <v>210</v>
      </c>
      <c r="M1860" s="406"/>
      <c r="N1860" s="425"/>
      <c r="O1860" s="406"/>
      <c r="P1860" s="547"/>
      <c r="Q1860" s="406"/>
      <c r="R1860" s="547"/>
      <c r="S1860" s="416">
        <v>0</v>
      </c>
      <c r="T1860" s="13"/>
    </row>
    <row r="1861" spans="1:22" s="2" customFormat="1" ht="16.5" thickBot="1">
      <c r="A1861" s="725" t="s">
        <v>144</v>
      </c>
      <c r="B1861" s="513"/>
      <c r="C1861" s="102"/>
      <c r="D1861" s="102"/>
      <c r="E1861" s="102"/>
      <c r="F1861" s="514"/>
      <c r="G1861" s="104">
        <f aca="true" t="shared" si="266" ref="G1861:S1861">SUM(G1846:G1859)</f>
        <v>6287</v>
      </c>
      <c r="H1861" s="515">
        <f t="shared" si="266"/>
        <v>0</v>
      </c>
      <c r="I1861" s="515">
        <f t="shared" si="266"/>
        <v>0</v>
      </c>
      <c r="J1861" s="515">
        <f t="shared" si="266"/>
        <v>0</v>
      </c>
      <c r="K1861" s="515">
        <f t="shared" si="266"/>
        <v>2032</v>
      </c>
      <c r="L1861" s="104">
        <f>SUM(L1846:L1860)</f>
        <v>496461</v>
      </c>
      <c r="M1861" s="407" t="e">
        <f t="shared" si="266"/>
        <v>#REF!</v>
      </c>
      <c r="N1861" s="439" t="e">
        <f>SUM(M1861/L1861)*100</f>
        <v>#REF!</v>
      </c>
      <c r="O1861" s="407" t="e">
        <f t="shared" si="266"/>
        <v>#REF!</v>
      </c>
      <c r="P1861" s="439" t="e">
        <f>SUM(O1861/L1861)*100</f>
        <v>#REF!</v>
      </c>
      <c r="Q1861" s="407" t="e">
        <f t="shared" si="266"/>
        <v>#REF!</v>
      </c>
      <c r="R1861" s="439" t="e">
        <f>SUM(Q1861/L1861)*100</f>
        <v>#REF!</v>
      </c>
      <c r="S1861" s="723">
        <f t="shared" si="266"/>
        <v>106341</v>
      </c>
      <c r="T1861" s="722">
        <f>SUM(S1861/L1861)*100</f>
        <v>21.419809411011137</v>
      </c>
      <c r="U1861" s="401"/>
      <c r="V1861" s="401"/>
    </row>
    <row r="1862" spans="1:14" ht="12.75">
      <c r="A1862" s="24"/>
      <c r="B1862" s="163"/>
      <c r="C1862" s="24"/>
      <c r="G1862" s="164"/>
      <c r="H1862" s="57"/>
      <c r="I1862" s="57"/>
      <c r="J1862" s="57"/>
      <c r="K1862" s="57"/>
      <c r="L1862" s="57"/>
      <c r="M1862" s="57"/>
      <c r="N1862" s="427"/>
    </row>
    <row r="1863" spans="1:14" ht="12.75">
      <c r="A1863" s="24"/>
      <c r="B1863" s="163"/>
      <c r="C1863" s="24"/>
      <c r="G1863" s="164"/>
      <c r="H1863" s="57"/>
      <c r="I1863" s="57"/>
      <c r="J1863" s="57"/>
      <c r="K1863" s="57"/>
      <c r="L1863" s="57"/>
      <c r="M1863" s="57"/>
      <c r="N1863" s="427"/>
    </row>
    <row r="1864" spans="1:14" ht="12.75">
      <c r="A1864" s="24"/>
      <c r="B1864" s="163"/>
      <c r="C1864" s="24"/>
      <c r="G1864" s="164"/>
      <c r="H1864" s="57"/>
      <c r="I1864" s="57"/>
      <c r="J1864" s="57"/>
      <c r="K1864" s="57"/>
      <c r="L1864" s="57"/>
      <c r="M1864" s="57"/>
      <c r="N1864" s="427"/>
    </row>
    <row r="1865" spans="1:11" ht="15.75">
      <c r="A1865" s="165" t="s">
        <v>687</v>
      </c>
      <c r="B1865" s="12"/>
      <c r="C1865" s="12"/>
      <c r="G1865" s="162"/>
      <c r="H1865" s="12"/>
      <c r="I1865" s="12"/>
      <c r="J1865" s="12"/>
      <c r="K1865" s="12"/>
    </row>
    <row r="1866" spans="1:14" ht="13.5" thickBot="1">
      <c r="A1866" s="111"/>
      <c r="B1866" s="12"/>
      <c r="C1866" s="12"/>
      <c r="D1866" s="12"/>
      <c r="E1866" s="12"/>
      <c r="F1866" s="12"/>
      <c r="G1866" s="162"/>
      <c r="H1866" s="12"/>
      <c r="I1866" s="12"/>
      <c r="J1866" s="12"/>
      <c r="K1866" s="12"/>
      <c r="L1866" s="52"/>
      <c r="M1866" s="52"/>
      <c r="N1866" s="428"/>
    </row>
    <row r="1867" spans="1:20" ht="13.5" thickBot="1">
      <c r="A1867" s="133"/>
      <c r="B1867" s="134"/>
      <c r="C1867" s="134"/>
      <c r="D1867" s="134"/>
      <c r="E1867" s="135"/>
      <c r="F1867" s="135"/>
      <c r="G1867" s="15" t="s">
        <v>23</v>
      </c>
      <c r="H1867" s="136"/>
      <c r="I1867" s="137" t="s">
        <v>155</v>
      </c>
      <c r="J1867" s="138" t="s">
        <v>156</v>
      </c>
      <c r="K1867" s="10" t="s">
        <v>25</v>
      </c>
      <c r="L1867" s="238" t="s">
        <v>645</v>
      </c>
      <c r="M1867" s="403" t="s">
        <v>296</v>
      </c>
      <c r="N1867" s="426" t="s">
        <v>682</v>
      </c>
      <c r="O1867" s="403" t="s">
        <v>296</v>
      </c>
      <c r="P1867" s="426" t="s">
        <v>683</v>
      </c>
      <c r="Q1867" s="403" t="s">
        <v>296</v>
      </c>
      <c r="R1867" s="426" t="s">
        <v>681</v>
      </c>
      <c r="S1867" s="403" t="s">
        <v>296</v>
      </c>
      <c r="T1867" s="421" t="s">
        <v>681</v>
      </c>
    </row>
    <row r="1868" spans="1:20" ht="13.5" thickTop="1">
      <c r="A1868" s="139" t="s">
        <v>157</v>
      </c>
      <c r="B1868" s="140" t="s">
        <v>158</v>
      </c>
      <c r="C1868" s="141"/>
      <c r="D1868" s="142"/>
      <c r="E1868" s="142"/>
      <c r="F1868" s="142"/>
      <c r="G1868" s="11" t="s">
        <v>45</v>
      </c>
      <c r="H1868" s="32" t="s">
        <v>27</v>
      </c>
      <c r="I1868" s="6" t="s">
        <v>92</v>
      </c>
      <c r="J1868" s="108" t="s">
        <v>29</v>
      </c>
      <c r="K1868" s="33" t="s">
        <v>46</v>
      </c>
      <c r="L1868" s="208"/>
      <c r="M1868" s="25" t="s">
        <v>297</v>
      </c>
      <c r="N1868" s="425"/>
      <c r="O1868" s="25" t="s">
        <v>750</v>
      </c>
      <c r="P1868" s="547"/>
      <c r="Q1868" s="25" t="s">
        <v>896</v>
      </c>
      <c r="R1868" s="547"/>
      <c r="S1868" s="25" t="s">
        <v>957</v>
      </c>
      <c r="T1868" s="422"/>
    </row>
    <row r="1869" spans="1:20" ht="13.5" thickBot="1">
      <c r="A1869" s="143"/>
      <c r="B1869" s="144"/>
      <c r="C1869" s="145"/>
      <c r="D1869" s="145"/>
      <c r="E1869" s="146"/>
      <c r="F1869" s="147"/>
      <c r="G1869" s="83"/>
      <c r="H1869" s="84">
        <v>38335</v>
      </c>
      <c r="I1869" s="148">
        <v>38587</v>
      </c>
      <c r="J1869" s="110" t="s">
        <v>31</v>
      </c>
      <c r="K1869" s="33" t="s">
        <v>32</v>
      </c>
      <c r="L1869" s="242"/>
      <c r="M1869" s="404"/>
      <c r="N1869" s="429"/>
      <c r="O1869" s="404"/>
      <c r="P1869" s="548"/>
      <c r="Q1869" s="404"/>
      <c r="R1869" s="548"/>
      <c r="S1869" s="404"/>
      <c r="T1869" s="423"/>
    </row>
    <row r="1870" spans="1:20" ht="13.5" thickBot="1">
      <c r="A1870" s="149" t="s">
        <v>47</v>
      </c>
      <c r="B1870" s="150"/>
      <c r="C1870" s="151"/>
      <c r="D1870" s="151" t="s">
        <v>48</v>
      </c>
      <c r="E1870" s="151"/>
      <c r="F1870" s="151"/>
      <c r="G1870" s="152">
        <v>1</v>
      </c>
      <c r="H1870" s="41">
        <v>2</v>
      </c>
      <c r="I1870" s="22">
        <v>3</v>
      </c>
      <c r="J1870" s="22">
        <v>4</v>
      </c>
      <c r="K1870" s="40">
        <v>1</v>
      </c>
      <c r="L1870" s="599">
        <v>1</v>
      </c>
      <c r="N1870" s="424"/>
      <c r="P1870" s="547"/>
      <c r="R1870" s="551"/>
      <c r="T1870" s="556"/>
    </row>
    <row r="1871" spans="1:20" ht="12.75">
      <c r="A1871" s="166" t="s">
        <v>159</v>
      </c>
      <c r="B1871" s="167" t="s">
        <v>160</v>
      </c>
      <c r="C1871" s="168"/>
      <c r="D1871" s="4"/>
      <c r="E1871" s="4"/>
      <c r="F1871" s="5"/>
      <c r="G1871" s="154">
        <f>G2058</f>
        <v>0</v>
      </c>
      <c r="H1871" s="154">
        <f>H2058</f>
        <v>0</v>
      </c>
      <c r="I1871" s="169">
        <f>I2061</f>
        <v>0</v>
      </c>
      <c r="J1871" s="154">
        <f>J2061</f>
        <v>0</v>
      </c>
      <c r="K1871" s="169">
        <f>K2061</f>
        <v>0</v>
      </c>
      <c r="L1871" s="154">
        <f>SUM(L458)</f>
        <v>1470</v>
      </c>
      <c r="M1871" s="154">
        <f>SUM(M458)</f>
        <v>6</v>
      </c>
      <c r="N1871" s="430">
        <f>SUM(M1871/L1871)*100</f>
        <v>0.40816326530612246</v>
      </c>
      <c r="O1871" s="405">
        <f>SUM(O458)</f>
        <v>222</v>
      </c>
      <c r="P1871" s="525">
        <f>SUM(O1871/L1871)*100</f>
        <v>15.10204081632653</v>
      </c>
      <c r="Q1871" s="405">
        <f>SUM(Q458)</f>
        <v>228</v>
      </c>
      <c r="R1871" s="525">
        <f>SUM(Q1871/L1871)*100</f>
        <v>15.510204081632653</v>
      </c>
      <c r="S1871" s="405">
        <f>SUM(S458)</f>
        <v>234</v>
      </c>
      <c r="T1871" s="525">
        <f>SUM(S1871/L1871)*100</f>
        <v>15.918367346938775</v>
      </c>
    </row>
    <row r="1872" spans="1:20" ht="12.75">
      <c r="A1872" s="23" t="s">
        <v>224</v>
      </c>
      <c r="B1872" s="23" t="s">
        <v>168</v>
      </c>
      <c r="C1872" s="24"/>
      <c r="D1872" s="12"/>
      <c r="E1872" s="12"/>
      <c r="F1872" s="13"/>
      <c r="G1872" s="155">
        <f>G2083</f>
        <v>0</v>
      </c>
      <c r="H1872" s="155">
        <f>H2083</f>
        <v>0</v>
      </c>
      <c r="I1872" s="164">
        <f>I2083</f>
        <v>0</v>
      </c>
      <c r="J1872" s="155">
        <f>J2083</f>
        <v>0</v>
      </c>
      <c r="K1872" s="164">
        <f>K2083</f>
        <v>0</v>
      </c>
      <c r="L1872" s="155">
        <f>SUM(L573)</f>
        <v>125910</v>
      </c>
      <c r="M1872" s="155">
        <f>SUM(M573)</f>
        <v>4905</v>
      </c>
      <c r="N1872" s="430">
        <f>SUM(M1872/L1872)*100</f>
        <v>3.895639742673338</v>
      </c>
      <c r="O1872" s="406">
        <f>SUM(O573)</f>
        <v>5384</v>
      </c>
      <c r="P1872" s="430">
        <f>SUM(O1872/L1872)*100</f>
        <v>4.276070208879358</v>
      </c>
      <c r="Q1872" s="406">
        <f>SUM(Q573)</f>
        <v>7922</v>
      </c>
      <c r="R1872" s="430">
        <f>SUM(Q1872/L1872)*100</f>
        <v>6.291795727106663</v>
      </c>
      <c r="S1872" s="406">
        <f>SUM(S573)</f>
        <v>9358</v>
      </c>
      <c r="T1872" s="430">
        <f>SUM(S1872/L1872)*100</f>
        <v>7.432292907632436</v>
      </c>
    </row>
    <row r="1873" spans="1:20" ht="13.5" thickBot="1">
      <c r="A1873" s="23" t="s">
        <v>225</v>
      </c>
      <c r="B1873" s="23" t="s">
        <v>170</v>
      </c>
      <c r="C1873" s="24"/>
      <c r="D1873" s="12"/>
      <c r="E1873" s="12"/>
      <c r="F1873" s="13"/>
      <c r="G1873" s="170">
        <f>G2274</f>
        <v>0</v>
      </c>
      <c r="H1873" s="170">
        <f>H2274</f>
        <v>0</v>
      </c>
      <c r="I1873" s="171">
        <f>I2274</f>
        <v>0</v>
      </c>
      <c r="J1873" s="170">
        <f>J2274</f>
        <v>0</v>
      </c>
      <c r="K1873" s="171">
        <f>K2274</f>
        <v>0</v>
      </c>
      <c r="L1873" s="155">
        <f>SUM(L752)</f>
        <v>1050</v>
      </c>
      <c r="M1873" s="155">
        <f>SUM(M752)</f>
        <v>118</v>
      </c>
      <c r="N1873" s="430">
        <f>SUM(M1873/L1873)*100</f>
        <v>11.238095238095239</v>
      </c>
      <c r="O1873" s="406">
        <f>SUM(O752)</f>
        <v>225</v>
      </c>
      <c r="P1873" s="430">
        <f>SUM(O1873/L1873)*100</f>
        <v>21.428571428571427</v>
      </c>
      <c r="Q1873" s="406">
        <f>SUM(Q752)</f>
        <v>281</v>
      </c>
      <c r="R1873" s="430">
        <f>SUM(Q1873/L1873)*100</f>
        <v>26.761904761904766</v>
      </c>
      <c r="S1873" s="406">
        <f>SUM(S752)</f>
        <v>337</v>
      </c>
      <c r="T1873" s="430">
        <f>SUM(S1873/L1873)*100</f>
        <v>32.095238095238095</v>
      </c>
    </row>
    <row r="1874" spans="1:20" ht="16.5" thickBot="1">
      <c r="A1874" s="172"/>
      <c r="B1874" s="172" t="s">
        <v>226</v>
      </c>
      <c r="C1874" s="102"/>
      <c r="D1874" s="103"/>
      <c r="E1874" s="103"/>
      <c r="F1874" s="101"/>
      <c r="G1874" s="173">
        <f aca="true" t="shared" si="267" ref="G1874:S1874">SUM(G1871:G1873)</f>
        <v>0</v>
      </c>
      <c r="H1874" s="174">
        <f t="shared" si="267"/>
        <v>0</v>
      </c>
      <c r="I1874" s="174">
        <f t="shared" si="267"/>
        <v>0</v>
      </c>
      <c r="J1874" s="175">
        <f t="shared" si="267"/>
        <v>0</v>
      </c>
      <c r="K1874" s="176">
        <f t="shared" si="267"/>
        <v>0</v>
      </c>
      <c r="L1874" s="104">
        <f t="shared" si="267"/>
        <v>128430</v>
      </c>
      <c r="M1874" s="104">
        <f t="shared" si="267"/>
        <v>5029</v>
      </c>
      <c r="N1874" s="439">
        <f>SUM(M1874/L1874)*100</f>
        <v>3.9157517713929764</v>
      </c>
      <c r="O1874" s="407">
        <f t="shared" si="267"/>
        <v>5831</v>
      </c>
      <c r="P1874" s="439">
        <f>SUM(O1874/L1874)*100</f>
        <v>4.540216460328584</v>
      </c>
      <c r="Q1874" s="407">
        <f t="shared" si="267"/>
        <v>8431</v>
      </c>
      <c r="R1874" s="439">
        <f>SUM(Q1874/L1874)*100</f>
        <v>6.5646655765786806</v>
      </c>
      <c r="S1874" s="407">
        <f t="shared" si="267"/>
        <v>9929</v>
      </c>
      <c r="T1874" s="439">
        <f>SUM(S1874/L1874)*100</f>
        <v>7.73105972124893</v>
      </c>
    </row>
    <row r="1875" spans="1:14" ht="12.75">
      <c r="A1875" s="95"/>
      <c r="B1875" s="95"/>
      <c r="C1875" s="95"/>
      <c r="D1875" s="12"/>
      <c r="E1875" s="12"/>
      <c r="F1875" s="12"/>
      <c r="G1875" s="34"/>
      <c r="H1875" s="142"/>
      <c r="I1875" s="34"/>
      <c r="J1875" s="34"/>
      <c r="K1875" s="95"/>
      <c r="L1875" s="600"/>
      <c r="M1875" s="52"/>
      <c r="N1875" s="428"/>
    </row>
  </sheetData>
  <printOptions/>
  <pageMargins left="0.75" right="0.75" top="1" bottom="1" header="0.4921259845" footer="0.4921259845"/>
  <pageSetup horizontalDpi="600" verticalDpi="600" orientation="portrait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MsU Prievidza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Vojtková Ingrid</dc:creator>
  <cp:keywords/>
  <dc:description/>
  <cp:lastModifiedBy>Dechto</cp:lastModifiedBy>
  <cp:lastPrinted>2006-07-24T12:55:15Z</cp:lastPrinted>
  <dcterms:created xsi:type="dcterms:W3CDTF">2006-03-30T07:15:07Z</dcterms:created>
  <dcterms:modified xsi:type="dcterms:W3CDTF">2006-08-16T17:26:44Z</dcterms:modified>
  <cp:category/>
  <cp:version/>
  <cp:contentType/>
  <cp:contentStatus/>
</cp:coreProperties>
</file>